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shkonv\Desktop\"/>
    </mc:Choice>
  </mc:AlternateContent>
  <bookViews>
    <workbookView xWindow="0" yWindow="60" windowWidth="15480" windowHeight="7560" tabRatio="611"/>
  </bookViews>
  <sheets>
    <sheet name="расцен без стоим" sheetId="1" r:id="rId1"/>
    <sheet name="для пр пр" sheetId="2" r:id="rId2"/>
  </sheets>
  <definedNames>
    <definedName name="_xlnm._FilterDatabase" localSheetId="1" hidden="1">'для пр пр'!$A$6:$AH$445</definedName>
    <definedName name="_xlnm._FilterDatabase" localSheetId="0" hidden="1">'расцен без стоим'!$A$7:$K$549</definedName>
    <definedName name="_xlnm.Print_Area" localSheetId="1">'для пр пр'!$A$1:$Y$450</definedName>
    <definedName name="_xlnm.Print_Area" localSheetId="0">'расцен без стоим'!$A$1:$D$553</definedName>
  </definedNames>
  <calcPr calcId="162913"/>
</workbook>
</file>

<file path=xl/calcChain.xml><?xml version="1.0" encoding="utf-8"?>
<calcChain xmlns="http://schemas.openxmlformats.org/spreadsheetml/2006/main">
  <c r="S446" i="2" l="1"/>
  <c r="T446" i="2" s="1"/>
  <c r="T445" i="2"/>
  <c r="N446" i="2"/>
  <c r="J446" i="2"/>
  <c r="F446" i="2"/>
  <c r="N445" i="2"/>
  <c r="J445" i="2"/>
  <c r="F445" i="2"/>
  <c r="T444" i="2"/>
  <c r="R444" i="2"/>
  <c r="N444" i="2"/>
  <c r="J444" i="2"/>
  <c r="F444" i="2"/>
  <c r="T443" i="2"/>
  <c r="R443" i="2"/>
  <c r="N443" i="2"/>
  <c r="J443" i="2"/>
  <c r="F443" i="2"/>
  <c r="T442" i="2"/>
  <c r="R442" i="2"/>
  <c r="L442" i="2"/>
  <c r="N442" i="2"/>
  <c r="J442" i="2"/>
  <c r="F442" i="2"/>
  <c r="T441" i="2"/>
  <c r="R441" i="2"/>
  <c r="L441" i="2"/>
  <c r="N441" i="2" s="1"/>
  <c r="J441" i="2"/>
  <c r="F441" i="2"/>
  <c r="T440" i="2"/>
  <c r="N440" i="2"/>
  <c r="J440" i="2"/>
  <c r="F440" i="2"/>
  <c r="T439" i="2"/>
  <c r="R439" i="2"/>
  <c r="Q439" i="2"/>
  <c r="P439" i="2"/>
  <c r="N439" i="2"/>
  <c r="J439" i="2"/>
  <c r="F439" i="2"/>
  <c r="T438" i="2"/>
  <c r="R438" i="2"/>
  <c r="N438" i="2"/>
  <c r="J438" i="2"/>
  <c r="F438" i="2"/>
  <c r="S437" i="2"/>
  <c r="T437" i="2" s="1"/>
  <c r="R437" i="2"/>
  <c r="N437" i="2"/>
  <c r="J437" i="2"/>
  <c r="F437" i="2"/>
  <c r="T436" i="2"/>
  <c r="R436" i="2"/>
  <c r="N436" i="2"/>
  <c r="J436" i="2"/>
  <c r="F436" i="2"/>
  <c r="T435" i="2"/>
  <c r="R435" i="2"/>
  <c r="N435" i="2"/>
  <c r="J435" i="2"/>
  <c r="O435" i="2"/>
  <c r="P435" i="2"/>
  <c r="F435" i="2"/>
  <c r="T434" i="2"/>
  <c r="R434" i="2"/>
  <c r="N434" i="2"/>
  <c r="J434" i="2"/>
  <c r="F434" i="2"/>
  <c r="T433" i="2"/>
  <c r="R433" i="2"/>
  <c r="N433" i="2"/>
  <c r="J433" i="2"/>
  <c r="F433" i="2"/>
  <c r="T432" i="2"/>
  <c r="R432" i="2"/>
  <c r="N432" i="2"/>
  <c r="J432" i="2"/>
  <c r="F432" i="2"/>
  <c r="O432" i="2" s="1"/>
  <c r="T431" i="2"/>
  <c r="R431" i="2"/>
  <c r="N431" i="2"/>
  <c r="J431" i="2"/>
  <c r="F431" i="2"/>
  <c r="T430" i="2"/>
  <c r="R430" i="2"/>
  <c r="N430" i="2"/>
  <c r="J430" i="2"/>
  <c r="F430" i="2"/>
  <c r="T429" i="2"/>
  <c r="R429" i="2"/>
  <c r="N429" i="2"/>
  <c r="J429" i="2"/>
  <c r="F429" i="2"/>
  <c r="T428" i="2"/>
  <c r="R428" i="2"/>
  <c r="N428" i="2"/>
  <c r="J428" i="2"/>
  <c r="F428" i="2"/>
  <c r="T427" i="2"/>
  <c r="R427" i="2"/>
  <c r="N427" i="2"/>
  <c r="J427" i="2"/>
  <c r="F427" i="2"/>
  <c r="T426" i="2"/>
  <c r="R426" i="2"/>
  <c r="N426" i="2"/>
  <c r="J426" i="2"/>
  <c r="F426" i="2"/>
  <c r="T425" i="2"/>
  <c r="R425" i="2"/>
  <c r="N425" i="2"/>
  <c r="J425" i="2"/>
  <c r="F425" i="2"/>
  <c r="O425" i="2"/>
  <c r="P425" i="2" s="1"/>
  <c r="T424" i="2"/>
  <c r="R424" i="2"/>
  <c r="N424" i="2"/>
  <c r="J424" i="2"/>
  <c r="F424" i="2"/>
  <c r="T423" i="2"/>
  <c r="R423" i="2"/>
  <c r="N423" i="2"/>
  <c r="J423" i="2"/>
  <c r="F423" i="2"/>
  <c r="T422" i="2"/>
  <c r="R422" i="2"/>
  <c r="N422" i="2"/>
  <c r="J422" i="2"/>
  <c r="F422" i="2"/>
  <c r="T421" i="2"/>
  <c r="R421" i="2"/>
  <c r="N421" i="2"/>
  <c r="J421" i="2"/>
  <c r="O421" i="2" s="1"/>
  <c r="F421" i="2"/>
  <c r="S420" i="2"/>
  <c r="T420" i="2"/>
  <c r="R420" i="2"/>
  <c r="N420" i="2"/>
  <c r="J420" i="2"/>
  <c r="F420" i="2"/>
  <c r="S419" i="2"/>
  <c r="T419" i="2" s="1"/>
  <c r="R419" i="2"/>
  <c r="N419" i="2"/>
  <c r="J419" i="2"/>
  <c r="F419" i="2"/>
  <c r="S418" i="2"/>
  <c r="T418" i="2"/>
  <c r="R418" i="2"/>
  <c r="N418" i="2"/>
  <c r="J418" i="2"/>
  <c r="F418" i="2"/>
  <c r="T417" i="2"/>
  <c r="R417" i="2"/>
  <c r="N417" i="2"/>
  <c r="J417" i="2"/>
  <c r="F417" i="2"/>
  <c r="T416" i="2"/>
  <c r="R416" i="2"/>
  <c r="N416" i="2"/>
  <c r="J416" i="2"/>
  <c r="O416" i="2" s="1"/>
  <c r="F416" i="2"/>
  <c r="T415" i="2"/>
  <c r="R415" i="2"/>
  <c r="N415" i="2"/>
  <c r="J415" i="2"/>
  <c r="F415" i="2"/>
  <c r="T414" i="2"/>
  <c r="R414" i="2"/>
  <c r="N414" i="2"/>
  <c r="J414" i="2"/>
  <c r="F414" i="2"/>
  <c r="T413" i="2"/>
  <c r="R413" i="2"/>
  <c r="N413" i="2"/>
  <c r="J413" i="2"/>
  <c r="F413" i="2"/>
  <c r="T412" i="2"/>
  <c r="N412" i="2"/>
  <c r="J412" i="2"/>
  <c r="F412" i="2"/>
  <c r="T411" i="2"/>
  <c r="N411" i="2"/>
  <c r="J411" i="2"/>
  <c r="F411" i="2"/>
  <c r="T410" i="2"/>
  <c r="N410" i="2"/>
  <c r="J410" i="2"/>
  <c r="F410" i="2"/>
  <c r="T409" i="2"/>
  <c r="N409" i="2"/>
  <c r="J409" i="2"/>
  <c r="F409" i="2"/>
  <c r="T408" i="2"/>
  <c r="N408" i="2"/>
  <c r="J408" i="2"/>
  <c r="F408" i="2"/>
  <c r="T407" i="2"/>
  <c r="N407" i="2"/>
  <c r="J407" i="2"/>
  <c r="F407" i="2"/>
  <c r="T406" i="2"/>
  <c r="R406" i="2"/>
  <c r="N406" i="2"/>
  <c r="J406" i="2"/>
  <c r="F406" i="2"/>
  <c r="T405" i="2"/>
  <c r="R405" i="2"/>
  <c r="N405" i="2"/>
  <c r="J405" i="2"/>
  <c r="F405" i="2"/>
  <c r="T404" i="2"/>
  <c r="R404" i="2"/>
  <c r="N404" i="2"/>
  <c r="J404" i="2"/>
  <c r="F404" i="2"/>
  <c r="T403" i="2"/>
  <c r="R403" i="2"/>
  <c r="N403" i="2"/>
  <c r="J403" i="2"/>
  <c r="F403" i="2"/>
  <c r="T402" i="2"/>
  <c r="R402" i="2"/>
  <c r="N402" i="2"/>
  <c r="J402" i="2"/>
  <c r="F402" i="2"/>
  <c r="T401" i="2"/>
  <c r="R401" i="2"/>
  <c r="N401" i="2"/>
  <c r="J401" i="2"/>
  <c r="F401" i="2"/>
  <c r="T400" i="2"/>
  <c r="R400" i="2"/>
  <c r="N400" i="2"/>
  <c r="J400" i="2"/>
  <c r="F400" i="2"/>
  <c r="O400" i="2"/>
  <c r="P400" i="2" s="1"/>
  <c r="T399" i="2"/>
  <c r="R399" i="2"/>
  <c r="N399" i="2"/>
  <c r="J399" i="2"/>
  <c r="F399" i="2"/>
  <c r="T398" i="2"/>
  <c r="R398" i="2"/>
  <c r="N398" i="2"/>
  <c r="J398" i="2"/>
  <c r="F398" i="2"/>
  <c r="T397" i="2"/>
  <c r="R397" i="2"/>
  <c r="N397" i="2"/>
  <c r="J397" i="2"/>
  <c r="F397" i="2"/>
  <c r="T396" i="2"/>
  <c r="R396" i="2"/>
  <c r="N396" i="2"/>
  <c r="J396" i="2"/>
  <c r="F396" i="2"/>
  <c r="T395" i="2"/>
  <c r="R395" i="2"/>
  <c r="N395" i="2"/>
  <c r="J395" i="2"/>
  <c r="T394" i="2"/>
  <c r="R394" i="2"/>
  <c r="N394" i="2"/>
  <c r="J394" i="2"/>
  <c r="F394" i="2"/>
  <c r="T393" i="2"/>
  <c r="R393" i="2"/>
  <c r="N393" i="2"/>
  <c r="J393" i="2"/>
  <c r="F393" i="2"/>
  <c r="T392" i="2"/>
  <c r="R392" i="2"/>
  <c r="N392" i="2"/>
  <c r="J392" i="2"/>
  <c r="F392" i="2"/>
  <c r="O392" i="2" s="1"/>
  <c r="T391" i="2"/>
  <c r="R391" i="2"/>
  <c r="N391" i="2"/>
  <c r="J391" i="2"/>
  <c r="F391" i="2"/>
  <c r="T390" i="2"/>
  <c r="R390" i="2"/>
  <c r="N390" i="2"/>
  <c r="J390" i="2"/>
  <c r="F390" i="2"/>
  <c r="O390" i="2"/>
  <c r="T389" i="2"/>
  <c r="N389" i="2"/>
  <c r="J389" i="2"/>
  <c r="F389" i="2"/>
  <c r="O389" i="2" s="1"/>
  <c r="T388" i="2"/>
  <c r="N388" i="2"/>
  <c r="J388" i="2"/>
  <c r="O388" i="2" s="1"/>
  <c r="F388" i="2"/>
  <c r="T387" i="2"/>
  <c r="R387" i="2"/>
  <c r="N387" i="2"/>
  <c r="J387" i="2"/>
  <c r="F387" i="2"/>
  <c r="T386" i="2"/>
  <c r="R386" i="2"/>
  <c r="K386" i="2"/>
  <c r="N386" i="2" s="1"/>
  <c r="J386" i="2"/>
  <c r="F386" i="2"/>
  <c r="T385" i="2"/>
  <c r="R385" i="2"/>
  <c r="K385" i="2"/>
  <c r="N385" i="2"/>
  <c r="J385" i="2"/>
  <c r="F385" i="2"/>
  <c r="O385" i="2" s="1"/>
  <c r="T384" i="2"/>
  <c r="R384" i="2"/>
  <c r="K384" i="2"/>
  <c r="N384" i="2"/>
  <c r="J384" i="2"/>
  <c r="F384" i="2"/>
  <c r="T383" i="2"/>
  <c r="N383" i="2"/>
  <c r="J383" i="2"/>
  <c r="F383" i="2"/>
  <c r="T382" i="2"/>
  <c r="R382" i="2"/>
  <c r="N382" i="2"/>
  <c r="J382" i="2"/>
  <c r="F382" i="2"/>
  <c r="T381" i="2"/>
  <c r="R381" i="2"/>
  <c r="N381" i="2"/>
  <c r="J381" i="2"/>
  <c r="F381" i="2"/>
  <c r="T380" i="2"/>
  <c r="R380" i="2"/>
  <c r="N380" i="2"/>
  <c r="J380" i="2"/>
  <c r="F380" i="2"/>
  <c r="O380" i="2" s="1"/>
  <c r="T379" i="2"/>
  <c r="R379" i="2"/>
  <c r="N379" i="2"/>
  <c r="J379" i="2"/>
  <c r="F379" i="2"/>
  <c r="T378" i="2"/>
  <c r="R378" i="2"/>
  <c r="N378" i="2"/>
  <c r="J378" i="2"/>
  <c r="F378" i="2"/>
  <c r="T377" i="2"/>
  <c r="R377" i="2"/>
  <c r="N377" i="2"/>
  <c r="J377" i="2"/>
  <c r="F377" i="2"/>
  <c r="T376" i="2"/>
  <c r="R376" i="2"/>
  <c r="N376" i="2"/>
  <c r="J376" i="2"/>
  <c r="F376" i="2"/>
  <c r="T375" i="2"/>
  <c r="R375" i="2"/>
  <c r="N375" i="2"/>
  <c r="J375" i="2"/>
  <c r="F375" i="2"/>
  <c r="T374" i="2"/>
  <c r="R374" i="2"/>
  <c r="N374" i="2"/>
  <c r="J374" i="2"/>
  <c r="F374" i="2"/>
  <c r="T373" i="2"/>
  <c r="R373" i="2"/>
  <c r="N373" i="2"/>
  <c r="J373" i="2"/>
  <c r="F373" i="2"/>
  <c r="T372" i="2"/>
  <c r="R372" i="2"/>
  <c r="N372" i="2"/>
  <c r="J372" i="2"/>
  <c r="F372" i="2"/>
  <c r="O372" i="2" s="1"/>
  <c r="T371" i="2"/>
  <c r="R371" i="2"/>
  <c r="N371" i="2"/>
  <c r="J371" i="2"/>
  <c r="F371" i="2"/>
  <c r="T370" i="2"/>
  <c r="R370" i="2"/>
  <c r="N370" i="2"/>
  <c r="J370" i="2"/>
  <c r="F370" i="2"/>
  <c r="T369" i="2"/>
  <c r="R369" i="2"/>
  <c r="N369" i="2"/>
  <c r="J369" i="2"/>
  <c r="F369" i="2"/>
  <c r="T368" i="2"/>
  <c r="R368" i="2"/>
  <c r="N368" i="2"/>
  <c r="J368" i="2"/>
  <c r="F368" i="2"/>
  <c r="T367" i="2"/>
  <c r="R367" i="2"/>
  <c r="N367" i="2"/>
  <c r="J367" i="2"/>
  <c r="F367" i="2"/>
  <c r="T366" i="2"/>
  <c r="R366" i="2"/>
  <c r="N366" i="2"/>
  <c r="J366" i="2"/>
  <c r="F366" i="2"/>
  <c r="T365" i="2"/>
  <c r="R365" i="2"/>
  <c r="N365" i="2"/>
  <c r="J365" i="2"/>
  <c r="F365" i="2"/>
  <c r="T364" i="2"/>
  <c r="R364" i="2"/>
  <c r="N364" i="2"/>
  <c r="J364" i="2"/>
  <c r="F364" i="2"/>
  <c r="T363" i="2"/>
  <c r="R363" i="2"/>
  <c r="N363" i="2"/>
  <c r="J363" i="2"/>
  <c r="F363" i="2"/>
  <c r="T362" i="2"/>
  <c r="R362" i="2"/>
  <c r="N362" i="2"/>
  <c r="J362" i="2"/>
  <c r="F362" i="2"/>
  <c r="T361" i="2"/>
  <c r="R361" i="2"/>
  <c r="N361" i="2"/>
  <c r="J361" i="2"/>
  <c r="F361" i="2"/>
  <c r="T360" i="2"/>
  <c r="R360" i="2"/>
  <c r="N360" i="2"/>
  <c r="J360" i="2"/>
  <c r="F360" i="2"/>
  <c r="O360" i="2" s="1"/>
  <c r="T359" i="2"/>
  <c r="R359" i="2"/>
  <c r="N359" i="2"/>
  <c r="J359" i="2"/>
  <c r="F359" i="2"/>
  <c r="T358" i="2"/>
  <c r="R358" i="2"/>
  <c r="N358" i="2"/>
  <c r="J358" i="2"/>
  <c r="F358" i="2"/>
  <c r="T357" i="2"/>
  <c r="R357" i="2"/>
  <c r="N357" i="2"/>
  <c r="J357" i="2"/>
  <c r="F357" i="2"/>
  <c r="T356" i="2"/>
  <c r="R356" i="2"/>
  <c r="N356" i="2"/>
  <c r="J356" i="2"/>
  <c r="F356" i="2"/>
  <c r="T355" i="2"/>
  <c r="R355" i="2"/>
  <c r="N355" i="2"/>
  <c r="J355" i="2"/>
  <c r="F355" i="2"/>
  <c r="T354" i="2"/>
  <c r="R354" i="2"/>
  <c r="N354" i="2"/>
  <c r="J354" i="2"/>
  <c r="F354" i="2"/>
  <c r="T353" i="2"/>
  <c r="R353" i="2"/>
  <c r="N353" i="2"/>
  <c r="J353" i="2"/>
  <c r="F353" i="2"/>
  <c r="T352" i="2"/>
  <c r="R352" i="2"/>
  <c r="N352" i="2"/>
  <c r="J352" i="2"/>
  <c r="F352" i="2"/>
  <c r="T351" i="2"/>
  <c r="R351" i="2"/>
  <c r="N351" i="2"/>
  <c r="J351" i="2"/>
  <c r="F351" i="2"/>
  <c r="T350" i="2"/>
  <c r="R350" i="2"/>
  <c r="N350" i="2"/>
  <c r="J350" i="2"/>
  <c r="F350" i="2"/>
  <c r="T349" i="2"/>
  <c r="R349" i="2"/>
  <c r="N349" i="2"/>
  <c r="J349" i="2"/>
  <c r="F349" i="2"/>
  <c r="T348" i="2"/>
  <c r="R348" i="2"/>
  <c r="N348" i="2"/>
  <c r="J348" i="2"/>
  <c r="F348" i="2"/>
  <c r="T347" i="2"/>
  <c r="R347" i="2"/>
  <c r="N347" i="2"/>
  <c r="J347" i="2"/>
  <c r="F347" i="2"/>
  <c r="T346" i="2"/>
  <c r="R346" i="2"/>
  <c r="N346" i="2"/>
  <c r="J346" i="2"/>
  <c r="F346" i="2"/>
  <c r="T345" i="2"/>
  <c r="R345" i="2"/>
  <c r="N345" i="2"/>
  <c r="J345" i="2"/>
  <c r="F345" i="2"/>
  <c r="T344" i="2"/>
  <c r="R344" i="2"/>
  <c r="N344" i="2"/>
  <c r="J344" i="2"/>
  <c r="F344" i="2"/>
  <c r="T343" i="2"/>
  <c r="R343" i="2"/>
  <c r="N343" i="2"/>
  <c r="J343" i="2"/>
  <c r="F343" i="2"/>
  <c r="T342" i="2"/>
  <c r="R342" i="2"/>
  <c r="N342" i="2"/>
  <c r="J342" i="2"/>
  <c r="F342" i="2"/>
  <c r="T341" i="2"/>
  <c r="R341" i="2"/>
  <c r="N341" i="2"/>
  <c r="J341" i="2"/>
  <c r="F341" i="2"/>
  <c r="T340" i="2"/>
  <c r="R340" i="2"/>
  <c r="N340" i="2"/>
  <c r="J340" i="2"/>
  <c r="O340" i="2" s="1"/>
  <c r="F340" i="2"/>
  <c r="T339" i="2"/>
  <c r="R339" i="2"/>
  <c r="N339" i="2"/>
  <c r="J339" i="2"/>
  <c r="F339" i="2"/>
  <c r="T338" i="2"/>
  <c r="R338" i="2"/>
  <c r="N338" i="2"/>
  <c r="J338" i="2"/>
  <c r="F338" i="2"/>
  <c r="T337" i="2"/>
  <c r="R337" i="2"/>
  <c r="N337" i="2"/>
  <c r="J337" i="2"/>
  <c r="O337" i="2"/>
  <c r="F337" i="2"/>
  <c r="T336" i="2"/>
  <c r="R336" i="2"/>
  <c r="N336" i="2"/>
  <c r="J336" i="2"/>
  <c r="F336" i="2"/>
  <c r="T335" i="2"/>
  <c r="R335" i="2"/>
  <c r="N335" i="2"/>
  <c r="J335" i="2"/>
  <c r="F335" i="2"/>
  <c r="T334" i="2"/>
  <c r="R334" i="2"/>
  <c r="N334" i="2"/>
  <c r="J334" i="2"/>
  <c r="F334" i="2"/>
  <c r="O334" i="2" s="1"/>
  <c r="T333" i="2"/>
  <c r="R333" i="2"/>
  <c r="N333" i="2"/>
  <c r="O333" i="2" s="1"/>
  <c r="J333" i="2"/>
  <c r="F333" i="2"/>
  <c r="T332" i="2"/>
  <c r="R332" i="2"/>
  <c r="N332" i="2"/>
  <c r="J332" i="2"/>
  <c r="F332" i="2"/>
  <c r="T331" i="2"/>
  <c r="R331" i="2"/>
  <c r="N331" i="2"/>
  <c r="J331" i="2"/>
  <c r="F331" i="2"/>
  <c r="T330" i="2"/>
  <c r="R330" i="2"/>
  <c r="N330" i="2"/>
  <c r="J330" i="2"/>
  <c r="F330" i="2"/>
  <c r="O330" i="2" s="1"/>
  <c r="P330" i="2" s="1"/>
  <c r="T329" i="2"/>
  <c r="R329" i="2"/>
  <c r="N329" i="2"/>
  <c r="J329" i="2"/>
  <c r="F329" i="2"/>
  <c r="T328" i="2"/>
  <c r="R328" i="2"/>
  <c r="N328" i="2"/>
  <c r="J328" i="2"/>
  <c r="F328" i="2"/>
  <c r="T327" i="2"/>
  <c r="R327" i="2"/>
  <c r="N327" i="2"/>
  <c r="J327" i="2"/>
  <c r="F327" i="2"/>
  <c r="T326" i="2"/>
  <c r="R326" i="2"/>
  <c r="N326" i="2"/>
  <c r="J326" i="2"/>
  <c r="F326" i="2"/>
  <c r="T325" i="2"/>
  <c r="R325" i="2"/>
  <c r="N325" i="2"/>
  <c r="J325" i="2"/>
  <c r="F325" i="2"/>
  <c r="T324" i="2"/>
  <c r="R324" i="2"/>
  <c r="N324" i="2"/>
  <c r="J324" i="2"/>
  <c r="F324" i="2"/>
  <c r="T323" i="2"/>
  <c r="R323" i="2"/>
  <c r="N323" i="2"/>
  <c r="J323" i="2"/>
  <c r="F323" i="2"/>
  <c r="T322" i="2"/>
  <c r="R322" i="2"/>
  <c r="N322" i="2"/>
  <c r="J322" i="2"/>
  <c r="F322" i="2"/>
  <c r="T321" i="2"/>
  <c r="R321" i="2"/>
  <c r="N321" i="2"/>
  <c r="J321" i="2"/>
  <c r="F321" i="2"/>
  <c r="S320" i="2"/>
  <c r="T320" i="2"/>
  <c r="R320" i="2"/>
  <c r="N320" i="2"/>
  <c r="J320" i="2"/>
  <c r="F320" i="2"/>
  <c r="T319" i="2"/>
  <c r="R319" i="2"/>
  <c r="N319" i="2"/>
  <c r="J319" i="2"/>
  <c r="F319" i="2"/>
  <c r="T318" i="2"/>
  <c r="R318" i="2"/>
  <c r="N318" i="2"/>
  <c r="J318" i="2"/>
  <c r="F318" i="2"/>
  <c r="T317" i="2"/>
  <c r="R317" i="2"/>
  <c r="N317" i="2"/>
  <c r="O317" i="2" s="1"/>
  <c r="J317" i="2"/>
  <c r="F317" i="2"/>
  <c r="P317" i="2"/>
  <c r="T316" i="2"/>
  <c r="R316" i="2"/>
  <c r="N316" i="2"/>
  <c r="J316" i="2"/>
  <c r="F316" i="2"/>
  <c r="T315" i="2"/>
  <c r="R315" i="2"/>
  <c r="N315" i="2"/>
  <c r="J315" i="2"/>
  <c r="F315" i="2"/>
  <c r="T314" i="2"/>
  <c r="R314" i="2"/>
  <c r="N314" i="2"/>
  <c r="J314" i="2"/>
  <c r="F314" i="2"/>
  <c r="T313" i="2"/>
  <c r="R313" i="2"/>
  <c r="N313" i="2"/>
  <c r="J313" i="2"/>
  <c r="F313" i="2"/>
  <c r="T312" i="2"/>
  <c r="R312" i="2"/>
  <c r="N312" i="2"/>
  <c r="J312" i="2"/>
  <c r="O312" i="2" s="1"/>
  <c r="F312" i="2"/>
  <c r="T311" i="2"/>
  <c r="R311" i="2"/>
  <c r="N311" i="2"/>
  <c r="J311" i="2"/>
  <c r="F311" i="2"/>
  <c r="T310" i="2"/>
  <c r="R310" i="2"/>
  <c r="N310" i="2"/>
  <c r="J310" i="2"/>
  <c r="F310" i="2"/>
  <c r="T309" i="2"/>
  <c r="R309" i="2"/>
  <c r="N309" i="2"/>
  <c r="J309" i="2"/>
  <c r="F309" i="2"/>
  <c r="T308" i="2"/>
  <c r="R308" i="2"/>
  <c r="N308" i="2"/>
  <c r="J308" i="2"/>
  <c r="F308" i="2"/>
  <c r="T307" i="2"/>
  <c r="R307" i="2"/>
  <c r="N307" i="2"/>
  <c r="J307" i="2"/>
  <c r="F307" i="2"/>
  <c r="T306" i="2"/>
  <c r="R306" i="2"/>
  <c r="N306" i="2"/>
  <c r="J306" i="2"/>
  <c r="F306" i="2"/>
  <c r="T305" i="2"/>
  <c r="R305" i="2"/>
  <c r="N305" i="2"/>
  <c r="J305" i="2"/>
  <c r="F305" i="2"/>
  <c r="T304" i="2"/>
  <c r="R304" i="2"/>
  <c r="N304" i="2"/>
  <c r="J304" i="2"/>
  <c r="O304" i="2" s="1"/>
  <c r="F304" i="2"/>
  <c r="T303" i="2"/>
  <c r="R303" i="2"/>
  <c r="N303" i="2"/>
  <c r="J303" i="2"/>
  <c r="F303" i="2"/>
  <c r="T302" i="2"/>
  <c r="R302" i="2"/>
  <c r="N302" i="2"/>
  <c r="J302" i="2"/>
  <c r="F302" i="2"/>
  <c r="T301" i="2"/>
  <c r="R301" i="2"/>
  <c r="N301" i="2"/>
  <c r="J301" i="2"/>
  <c r="F301" i="2"/>
  <c r="O301" i="2" s="1"/>
  <c r="Q301" i="2" s="1"/>
  <c r="T300" i="2"/>
  <c r="R300" i="2"/>
  <c r="N300" i="2"/>
  <c r="J300" i="2"/>
  <c r="F300" i="2"/>
  <c r="T299" i="2"/>
  <c r="R299" i="2"/>
  <c r="N299" i="2"/>
  <c r="J299" i="2"/>
  <c r="F299" i="2"/>
  <c r="T298" i="2"/>
  <c r="R298" i="2"/>
  <c r="N298" i="2"/>
  <c r="J298" i="2"/>
  <c r="F298" i="2"/>
  <c r="T297" i="2"/>
  <c r="R297" i="2"/>
  <c r="N297" i="2"/>
  <c r="J297" i="2"/>
  <c r="F297" i="2"/>
  <c r="O297" i="2" s="1"/>
  <c r="Q297" i="2" s="1"/>
  <c r="T296" i="2"/>
  <c r="R296" i="2"/>
  <c r="N296" i="2"/>
  <c r="J296" i="2"/>
  <c r="O296" i="2" s="1"/>
  <c r="F296" i="2"/>
  <c r="T295" i="2"/>
  <c r="R295" i="2"/>
  <c r="N295" i="2"/>
  <c r="J295" i="2"/>
  <c r="F295" i="2"/>
  <c r="T294" i="2"/>
  <c r="R294" i="2"/>
  <c r="N294" i="2"/>
  <c r="J294" i="2"/>
  <c r="F294" i="2"/>
  <c r="T293" i="2"/>
  <c r="R293" i="2"/>
  <c r="N293" i="2"/>
  <c r="J293" i="2"/>
  <c r="F293" i="2"/>
  <c r="T292" i="2"/>
  <c r="R292" i="2"/>
  <c r="N292" i="2"/>
  <c r="J292" i="2"/>
  <c r="F292" i="2"/>
  <c r="T291" i="2"/>
  <c r="R291" i="2"/>
  <c r="N291" i="2"/>
  <c r="J291" i="2"/>
  <c r="F291" i="2"/>
  <c r="T290" i="2"/>
  <c r="R290" i="2"/>
  <c r="N290" i="2"/>
  <c r="J290" i="2"/>
  <c r="F290" i="2"/>
  <c r="T289" i="2"/>
  <c r="R289" i="2"/>
  <c r="N289" i="2"/>
  <c r="O289" i="2" s="1"/>
  <c r="J289" i="2"/>
  <c r="F289" i="2"/>
  <c r="Q289" i="2"/>
  <c r="T288" i="2"/>
  <c r="R288" i="2"/>
  <c r="N288" i="2"/>
  <c r="J288" i="2"/>
  <c r="F288" i="2"/>
  <c r="T287" i="2"/>
  <c r="R287" i="2"/>
  <c r="N287" i="2"/>
  <c r="O287" i="2" s="1"/>
  <c r="J287" i="2"/>
  <c r="F287" i="2"/>
  <c r="T286" i="2"/>
  <c r="R286" i="2"/>
  <c r="N286" i="2"/>
  <c r="J286" i="2"/>
  <c r="F286" i="2"/>
  <c r="T285" i="2"/>
  <c r="R285" i="2"/>
  <c r="N285" i="2"/>
  <c r="J285" i="2"/>
  <c r="F285" i="2"/>
  <c r="T284" i="2"/>
  <c r="R284" i="2"/>
  <c r="N284" i="2"/>
  <c r="J284" i="2"/>
  <c r="F284" i="2"/>
  <c r="T283" i="2"/>
  <c r="R283" i="2"/>
  <c r="N283" i="2"/>
  <c r="J283" i="2"/>
  <c r="F283" i="2"/>
  <c r="T282" i="2"/>
  <c r="R282" i="2"/>
  <c r="N282" i="2"/>
  <c r="J282" i="2"/>
  <c r="F282" i="2"/>
  <c r="T281" i="2"/>
  <c r="R281" i="2"/>
  <c r="N281" i="2"/>
  <c r="J281" i="2"/>
  <c r="F281" i="2"/>
  <c r="T280" i="2"/>
  <c r="R280" i="2"/>
  <c r="N280" i="2"/>
  <c r="J280" i="2"/>
  <c r="F280" i="2"/>
  <c r="T279" i="2"/>
  <c r="R279" i="2"/>
  <c r="N279" i="2"/>
  <c r="J279" i="2"/>
  <c r="F279" i="2"/>
  <c r="T278" i="2"/>
  <c r="R278" i="2"/>
  <c r="N278" i="2"/>
  <c r="J278" i="2"/>
  <c r="F278" i="2"/>
  <c r="T277" i="2"/>
  <c r="R277" i="2"/>
  <c r="N277" i="2"/>
  <c r="J277" i="2"/>
  <c r="F277" i="2"/>
  <c r="T276" i="2"/>
  <c r="R276" i="2"/>
  <c r="N276" i="2"/>
  <c r="J276" i="2"/>
  <c r="F276" i="2"/>
  <c r="T275" i="2"/>
  <c r="R275" i="2"/>
  <c r="N275" i="2"/>
  <c r="J275" i="2"/>
  <c r="F275" i="2"/>
  <c r="T274" i="2"/>
  <c r="R274" i="2"/>
  <c r="N274" i="2"/>
  <c r="J274" i="2"/>
  <c r="F274" i="2"/>
  <c r="T273" i="2"/>
  <c r="R273" i="2"/>
  <c r="N273" i="2"/>
  <c r="J273" i="2"/>
  <c r="F273" i="2"/>
  <c r="T272" i="2"/>
  <c r="R272" i="2"/>
  <c r="N272" i="2"/>
  <c r="J272" i="2"/>
  <c r="F272" i="2"/>
  <c r="T271" i="2"/>
  <c r="R271" i="2"/>
  <c r="N271" i="2"/>
  <c r="J271" i="2"/>
  <c r="F271" i="2"/>
  <c r="T270" i="2"/>
  <c r="R270" i="2"/>
  <c r="N270" i="2"/>
  <c r="J270" i="2"/>
  <c r="F270" i="2"/>
  <c r="T269" i="2"/>
  <c r="R269" i="2"/>
  <c r="N269" i="2"/>
  <c r="J269" i="2"/>
  <c r="F269" i="2"/>
  <c r="T268" i="2"/>
  <c r="R268" i="2"/>
  <c r="N268" i="2"/>
  <c r="J268" i="2"/>
  <c r="F268" i="2"/>
  <c r="T267" i="2"/>
  <c r="R267" i="2"/>
  <c r="N267" i="2"/>
  <c r="J267" i="2"/>
  <c r="F267" i="2"/>
  <c r="T266" i="2"/>
  <c r="R266" i="2"/>
  <c r="N266" i="2"/>
  <c r="J266" i="2"/>
  <c r="F266" i="2"/>
  <c r="T265" i="2"/>
  <c r="R265" i="2"/>
  <c r="N265" i="2"/>
  <c r="J265" i="2"/>
  <c r="F265" i="2"/>
  <c r="S264" i="2"/>
  <c r="T264" i="2" s="1"/>
  <c r="R264" i="2"/>
  <c r="N264" i="2"/>
  <c r="J264" i="2"/>
  <c r="F264" i="2"/>
  <c r="T263" i="2"/>
  <c r="R263" i="2"/>
  <c r="N263" i="2"/>
  <c r="J263" i="2"/>
  <c r="F263" i="2"/>
  <c r="T262" i="2"/>
  <c r="R262" i="2"/>
  <c r="N262" i="2"/>
  <c r="J262" i="2"/>
  <c r="F262" i="2"/>
  <c r="T261" i="2"/>
  <c r="R261" i="2"/>
  <c r="N261" i="2"/>
  <c r="J261" i="2"/>
  <c r="F261" i="2"/>
  <c r="Y260" i="2"/>
  <c r="Z260" i="2"/>
  <c r="S260" i="2"/>
  <c r="T260" i="2" s="1"/>
  <c r="M260" i="2"/>
  <c r="N260" i="2"/>
  <c r="J260" i="2"/>
  <c r="F260" i="2"/>
  <c r="Y259" i="2"/>
  <c r="Z259" i="2"/>
  <c r="S259" i="2"/>
  <c r="T259" i="2" s="1"/>
  <c r="M259" i="2"/>
  <c r="N259" i="2"/>
  <c r="J259" i="2"/>
  <c r="F259" i="2"/>
  <c r="Y258" i="2"/>
  <c r="Z258" i="2"/>
  <c r="S258" i="2"/>
  <c r="T258" i="2" s="1"/>
  <c r="M258" i="2"/>
  <c r="N258" i="2"/>
  <c r="O258" i="2"/>
  <c r="J258" i="2"/>
  <c r="F258" i="2"/>
  <c r="Y257" i="2"/>
  <c r="Z257" i="2"/>
  <c r="S257" i="2"/>
  <c r="T257" i="2" s="1"/>
  <c r="M257" i="2"/>
  <c r="N257" i="2"/>
  <c r="J257" i="2"/>
  <c r="F257" i="2"/>
  <c r="Y256" i="2"/>
  <c r="Z256" i="2"/>
  <c r="S256" i="2"/>
  <c r="T256" i="2" s="1"/>
  <c r="M256" i="2"/>
  <c r="N256" i="2"/>
  <c r="J256" i="2"/>
  <c r="F256" i="2"/>
  <c r="Y255" i="2"/>
  <c r="Z255" i="2"/>
  <c r="S255" i="2"/>
  <c r="T255" i="2" s="1"/>
  <c r="M255" i="2"/>
  <c r="N255" i="2"/>
  <c r="J255" i="2"/>
  <c r="F255" i="2"/>
  <c r="Y254" i="2"/>
  <c r="Z254" i="2"/>
  <c r="S254" i="2"/>
  <c r="T254" i="2" s="1"/>
  <c r="M254" i="2"/>
  <c r="N254" i="2"/>
  <c r="J254" i="2"/>
  <c r="F254" i="2"/>
  <c r="Y253" i="2"/>
  <c r="Z253" i="2"/>
  <c r="S253" i="2"/>
  <c r="T253" i="2" s="1"/>
  <c r="M253" i="2"/>
  <c r="N253" i="2"/>
  <c r="J253" i="2"/>
  <c r="F253" i="2"/>
  <c r="Y252" i="2"/>
  <c r="Z252" i="2"/>
  <c r="S252" i="2"/>
  <c r="T252" i="2" s="1"/>
  <c r="M252" i="2"/>
  <c r="N252" i="2"/>
  <c r="J252" i="2"/>
  <c r="F252" i="2"/>
  <c r="Y251" i="2"/>
  <c r="Z251" i="2"/>
  <c r="S251" i="2"/>
  <c r="T251" i="2" s="1"/>
  <c r="M251" i="2"/>
  <c r="N251" i="2"/>
  <c r="J251" i="2"/>
  <c r="F251" i="2"/>
  <c r="Y250" i="2"/>
  <c r="Z250" i="2"/>
  <c r="S250" i="2"/>
  <c r="T250" i="2" s="1"/>
  <c r="M250" i="2"/>
  <c r="N250" i="2"/>
  <c r="J250" i="2"/>
  <c r="F250" i="2"/>
  <c r="Y249" i="2"/>
  <c r="Z249" i="2"/>
  <c r="S249" i="2"/>
  <c r="T249" i="2" s="1"/>
  <c r="M249" i="2"/>
  <c r="N249" i="2"/>
  <c r="J249" i="2"/>
  <c r="F249" i="2"/>
  <c r="Y248" i="2"/>
  <c r="Z248" i="2"/>
  <c r="S248" i="2"/>
  <c r="T248" i="2" s="1"/>
  <c r="M248" i="2"/>
  <c r="N248" i="2"/>
  <c r="J248" i="2"/>
  <c r="F248" i="2"/>
  <c r="Y247" i="2"/>
  <c r="Z247" i="2"/>
  <c r="S247" i="2"/>
  <c r="T247" i="2" s="1"/>
  <c r="M247" i="2"/>
  <c r="N247" i="2"/>
  <c r="J247" i="2"/>
  <c r="F247" i="2"/>
  <c r="Y246" i="2"/>
  <c r="Z246" i="2"/>
  <c r="S246" i="2"/>
  <c r="T246" i="2" s="1"/>
  <c r="M246" i="2"/>
  <c r="N246" i="2"/>
  <c r="J246" i="2"/>
  <c r="F246" i="2"/>
  <c r="Y245" i="2"/>
  <c r="Z245" i="2"/>
  <c r="S245" i="2"/>
  <c r="T245" i="2" s="1"/>
  <c r="M245" i="2"/>
  <c r="N245" i="2"/>
  <c r="J245" i="2"/>
  <c r="F245" i="2"/>
  <c r="Y244" i="2"/>
  <c r="Z244" i="2"/>
  <c r="S244" i="2"/>
  <c r="T244" i="2" s="1"/>
  <c r="M244" i="2"/>
  <c r="N244" i="2"/>
  <c r="J244" i="2"/>
  <c r="F244" i="2"/>
  <c r="Y243" i="2"/>
  <c r="Z243" i="2"/>
  <c r="S243" i="2"/>
  <c r="T243" i="2" s="1"/>
  <c r="M243" i="2"/>
  <c r="N243" i="2"/>
  <c r="J243" i="2"/>
  <c r="F243" i="2"/>
  <c r="Y242" i="2"/>
  <c r="Z242" i="2"/>
  <c r="S242" i="2"/>
  <c r="T242" i="2" s="1"/>
  <c r="M242" i="2"/>
  <c r="N242" i="2"/>
  <c r="O242" i="2" s="1"/>
  <c r="J242" i="2"/>
  <c r="F242" i="2"/>
  <c r="Y241" i="2"/>
  <c r="Z241" i="2" s="1"/>
  <c r="S241" i="2"/>
  <c r="T241" i="2"/>
  <c r="M241" i="2"/>
  <c r="N241" i="2" s="1"/>
  <c r="J241" i="2"/>
  <c r="F241" i="2"/>
  <c r="Y240" i="2"/>
  <c r="Z240" i="2" s="1"/>
  <c r="S240" i="2"/>
  <c r="T240" i="2"/>
  <c r="M240" i="2"/>
  <c r="N240" i="2" s="1"/>
  <c r="J240" i="2"/>
  <c r="F240" i="2"/>
  <c r="Y239" i="2"/>
  <c r="Z239" i="2" s="1"/>
  <c r="S239" i="2"/>
  <c r="T239" i="2"/>
  <c r="M239" i="2"/>
  <c r="N239" i="2" s="1"/>
  <c r="J239" i="2"/>
  <c r="F239" i="2"/>
  <c r="Y238" i="2"/>
  <c r="Z238" i="2" s="1"/>
  <c r="S238" i="2"/>
  <c r="T238" i="2"/>
  <c r="M238" i="2"/>
  <c r="N238" i="2" s="1"/>
  <c r="J238" i="2"/>
  <c r="F238" i="2"/>
  <c r="Y237" i="2"/>
  <c r="Z237" i="2" s="1"/>
  <c r="S237" i="2"/>
  <c r="T237" i="2"/>
  <c r="M237" i="2"/>
  <c r="N237" i="2" s="1"/>
  <c r="J237" i="2"/>
  <c r="F237" i="2"/>
  <c r="Y236" i="2"/>
  <c r="Z236" i="2" s="1"/>
  <c r="S236" i="2"/>
  <c r="T236" i="2"/>
  <c r="M236" i="2"/>
  <c r="N236" i="2" s="1"/>
  <c r="J236" i="2"/>
  <c r="F236" i="2"/>
  <c r="Y235" i="2"/>
  <c r="Z235" i="2" s="1"/>
  <c r="S235" i="2"/>
  <c r="T235" i="2"/>
  <c r="M235" i="2"/>
  <c r="N235" i="2" s="1"/>
  <c r="J235" i="2"/>
  <c r="F235" i="2"/>
  <c r="Y234" i="2"/>
  <c r="Z234" i="2" s="1"/>
  <c r="S234" i="2"/>
  <c r="T234" i="2"/>
  <c r="M234" i="2"/>
  <c r="N234" i="2" s="1"/>
  <c r="J234" i="2"/>
  <c r="F234" i="2"/>
  <c r="Y233" i="2"/>
  <c r="Z233" i="2" s="1"/>
  <c r="S233" i="2"/>
  <c r="T233" i="2"/>
  <c r="M233" i="2"/>
  <c r="N233" i="2" s="1"/>
  <c r="J233" i="2"/>
  <c r="F233" i="2"/>
  <c r="Y232" i="2"/>
  <c r="Z232" i="2" s="1"/>
  <c r="S232" i="2"/>
  <c r="T232" i="2"/>
  <c r="M232" i="2"/>
  <c r="N232" i="2" s="1"/>
  <c r="J232" i="2"/>
  <c r="F232" i="2"/>
  <c r="Y231" i="2"/>
  <c r="Z231" i="2" s="1"/>
  <c r="S231" i="2"/>
  <c r="T231" i="2"/>
  <c r="M231" i="2"/>
  <c r="N231" i="2" s="1"/>
  <c r="J231" i="2"/>
  <c r="F231" i="2"/>
  <c r="Y230" i="2"/>
  <c r="Z230" i="2" s="1"/>
  <c r="S230" i="2"/>
  <c r="T230" i="2"/>
  <c r="M230" i="2"/>
  <c r="N230" i="2" s="1"/>
  <c r="J230" i="2"/>
  <c r="F230" i="2"/>
  <c r="Y229" i="2"/>
  <c r="Z229" i="2" s="1"/>
  <c r="S229" i="2"/>
  <c r="T229" i="2"/>
  <c r="M229" i="2"/>
  <c r="N229" i="2" s="1"/>
  <c r="J229" i="2"/>
  <c r="F229" i="2"/>
  <c r="Y228" i="2"/>
  <c r="Z228" i="2" s="1"/>
  <c r="S228" i="2"/>
  <c r="T228" i="2"/>
  <c r="M228" i="2"/>
  <c r="N228" i="2" s="1"/>
  <c r="J228" i="2"/>
  <c r="F228" i="2"/>
  <c r="Y227" i="2"/>
  <c r="Z227" i="2" s="1"/>
  <c r="S227" i="2"/>
  <c r="T227" i="2"/>
  <c r="M227" i="2"/>
  <c r="N227" i="2" s="1"/>
  <c r="J227" i="2"/>
  <c r="F227" i="2"/>
  <c r="Y226" i="2"/>
  <c r="Z226" i="2" s="1"/>
  <c r="S226" i="2"/>
  <c r="T226" i="2"/>
  <c r="M226" i="2"/>
  <c r="N226" i="2" s="1"/>
  <c r="J226" i="2"/>
  <c r="F226" i="2"/>
  <c r="O226" i="2"/>
  <c r="Y225" i="2"/>
  <c r="Z225" i="2" s="1"/>
  <c r="S225" i="2"/>
  <c r="T225" i="2"/>
  <c r="M225" i="2"/>
  <c r="N225" i="2" s="1"/>
  <c r="J225" i="2"/>
  <c r="F225" i="2"/>
  <c r="Y224" i="2"/>
  <c r="Z224" i="2" s="1"/>
  <c r="S224" i="2"/>
  <c r="T224" i="2"/>
  <c r="M224" i="2"/>
  <c r="N224" i="2" s="1"/>
  <c r="J224" i="2"/>
  <c r="F224" i="2"/>
  <c r="Y223" i="2"/>
  <c r="Z223" i="2" s="1"/>
  <c r="S223" i="2"/>
  <c r="T223" i="2"/>
  <c r="M223" i="2"/>
  <c r="N223" i="2" s="1"/>
  <c r="J223" i="2"/>
  <c r="F223" i="2"/>
  <c r="Y222" i="2"/>
  <c r="Z222" i="2" s="1"/>
  <c r="S222" i="2"/>
  <c r="T222" i="2"/>
  <c r="M222" i="2"/>
  <c r="N222" i="2" s="1"/>
  <c r="J222" i="2"/>
  <c r="F222" i="2"/>
  <c r="Y221" i="2"/>
  <c r="Z221" i="2" s="1"/>
  <c r="S221" i="2"/>
  <c r="T221" i="2"/>
  <c r="M221" i="2"/>
  <c r="N221" i="2" s="1"/>
  <c r="J221" i="2"/>
  <c r="F221" i="2"/>
  <c r="Y220" i="2"/>
  <c r="Z220" i="2" s="1"/>
  <c r="S220" i="2"/>
  <c r="T220" i="2"/>
  <c r="M220" i="2"/>
  <c r="N220" i="2" s="1"/>
  <c r="J220" i="2"/>
  <c r="F220" i="2"/>
  <c r="Y219" i="2"/>
  <c r="Z219" i="2" s="1"/>
  <c r="S219" i="2"/>
  <c r="T219" i="2"/>
  <c r="M219" i="2"/>
  <c r="N219" i="2" s="1"/>
  <c r="J219" i="2"/>
  <c r="F219" i="2"/>
  <c r="Y218" i="2"/>
  <c r="Z218" i="2" s="1"/>
  <c r="S218" i="2"/>
  <c r="T218" i="2"/>
  <c r="M218" i="2"/>
  <c r="N218" i="2" s="1"/>
  <c r="J218" i="2"/>
  <c r="F218" i="2"/>
  <c r="Y217" i="2"/>
  <c r="Z217" i="2" s="1"/>
  <c r="S217" i="2"/>
  <c r="T217" i="2"/>
  <c r="M217" i="2"/>
  <c r="N217" i="2" s="1"/>
  <c r="J217" i="2"/>
  <c r="F217" i="2"/>
  <c r="T216" i="2"/>
  <c r="R216" i="2"/>
  <c r="N216" i="2"/>
  <c r="J216" i="2"/>
  <c r="F216" i="2"/>
  <c r="T215" i="2"/>
  <c r="R215" i="2"/>
  <c r="N215" i="2"/>
  <c r="J215" i="2"/>
  <c r="F215" i="2"/>
  <c r="T214" i="2"/>
  <c r="R214" i="2"/>
  <c r="N214" i="2"/>
  <c r="J214" i="2"/>
  <c r="F214" i="2"/>
  <c r="O214" i="2"/>
  <c r="T213" i="2"/>
  <c r="R213" i="2"/>
  <c r="N213" i="2"/>
  <c r="J213" i="2"/>
  <c r="F213" i="2"/>
  <c r="T212" i="2"/>
  <c r="R212" i="2"/>
  <c r="N212" i="2"/>
  <c r="J212" i="2"/>
  <c r="F212" i="2"/>
  <c r="T211" i="2"/>
  <c r="R211" i="2"/>
  <c r="N211" i="2"/>
  <c r="J211" i="2"/>
  <c r="F211" i="2"/>
  <c r="T210" i="2"/>
  <c r="R210" i="2"/>
  <c r="N210" i="2"/>
  <c r="J210" i="2"/>
  <c r="F210" i="2"/>
  <c r="T209" i="2"/>
  <c r="R209" i="2"/>
  <c r="N209" i="2"/>
  <c r="J209" i="2"/>
  <c r="F209" i="2"/>
  <c r="T208" i="2"/>
  <c r="R208" i="2"/>
  <c r="N208" i="2"/>
  <c r="J208" i="2"/>
  <c r="F208" i="2"/>
  <c r="T207" i="2"/>
  <c r="R207" i="2"/>
  <c r="N207" i="2"/>
  <c r="J207" i="2"/>
  <c r="F207" i="2"/>
  <c r="T206" i="2"/>
  <c r="R206" i="2"/>
  <c r="N206" i="2"/>
  <c r="J206" i="2"/>
  <c r="F206" i="2"/>
  <c r="T205" i="2"/>
  <c r="R205" i="2"/>
  <c r="N205" i="2"/>
  <c r="J205" i="2"/>
  <c r="F205" i="2"/>
  <c r="T204" i="2"/>
  <c r="R204" i="2"/>
  <c r="N204" i="2"/>
  <c r="J204" i="2"/>
  <c r="F204" i="2"/>
  <c r="T203" i="2"/>
  <c r="R203" i="2"/>
  <c r="N203" i="2"/>
  <c r="J203" i="2"/>
  <c r="F203" i="2"/>
  <c r="T202" i="2"/>
  <c r="R202" i="2"/>
  <c r="N202" i="2"/>
  <c r="J202" i="2"/>
  <c r="F202" i="2"/>
  <c r="T201" i="2"/>
  <c r="R201" i="2"/>
  <c r="N201" i="2"/>
  <c r="J201" i="2"/>
  <c r="F201" i="2"/>
  <c r="T200" i="2"/>
  <c r="R200" i="2"/>
  <c r="N200" i="2"/>
  <c r="J200" i="2"/>
  <c r="F200" i="2"/>
  <c r="T199" i="2"/>
  <c r="R199" i="2"/>
  <c r="N199" i="2"/>
  <c r="J199" i="2"/>
  <c r="F199" i="2"/>
  <c r="T198" i="2"/>
  <c r="R198" i="2"/>
  <c r="N198" i="2"/>
  <c r="J198" i="2"/>
  <c r="F198" i="2"/>
  <c r="T197" i="2"/>
  <c r="R197" i="2"/>
  <c r="N197" i="2"/>
  <c r="J197" i="2"/>
  <c r="F197" i="2"/>
  <c r="T196" i="2"/>
  <c r="R196" i="2"/>
  <c r="N196" i="2"/>
  <c r="J196" i="2"/>
  <c r="F196" i="2"/>
  <c r="T195" i="2"/>
  <c r="R195" i="2"/>
  <c r="N195" i="2"/>
  <c r="J195" i="2"/>
  <c r="F195" i="2"/>
  <c r="T194" i="2"/>
  <c r="R194" i="2"/>
  <c r="N194" i="2"/>
  <c r="J194" i="2"/>
  <c r="F194" i="2"/>
  <c r="O194" i="2" s="1"/>
  <c r="Q194" i="2" s="1"/>
  <c r="T193" i="2"/>
  <c r="R193" i="2"/>
  <c r="N193" i="2"/>
  <c r="J193" i="2"/>
  <c r="F193" i="2"/>
  <c r="T192" i="2"/>
  <c r="R192" i="2"/>
  <c r="N192" i="2"/>
  <c r="J192" i="2"/>
  <c r="F192" i="2"/>
  <c r="T191" i="2"/>
  <c r="R191" i="2"/>
  <c r="N191" i="2"/>
  <c r="O191" i="2"/>
  <c r="J191" i="2"/>
  <c r="F191" i="2"/>
  <c r="T190" i="2"/>
  <c r="R190" i="2"/>
  <c r="N190" i="2"/>
  <c r="J190" i="2"/>
  <c r="F190" i="2"/>
  <c r="T189" i="2"/>
  <c r="R189" i="2"/>
  <c r="N189" i="2"/>
  <c r="J189" i="2"/>
  <c r="F189" i="2"/>
  <c r="T188" i="2"/>
  <c r="R188" i="2"/>
  <c r="N188" i="2"/>
  <c r="J188" i="2"/>
  <c r="F188" i="2"/>
  <c r="T187" i="2"/>
  <c r="R187" i="2"/>
  <c r="N187" i="2"/>
  <c r="J187" i="2"/>
  <c r="F187" i="2"/>
  <c r="T186" i="2"/>
  <c r="N186" i="2"/>
  <c r="J186" i="2"/>
  <c r="F186" i="2"/>
  <c r="T185" i="2"/>
  <c r="N185" i="2"/>
  <c r="J185" i="2"/>
  <c r="F185" i="2"/>
  <c r="T184" i="2"/>
  <c r="R184" i="2"/>
  <c r="N184" i="2"/>
  <c r="J184" i="2"/>
  <c r="F184" i="2"/>
  <c r="O184" i="2" s="1"/>
  <c r="T183" i="2"/>
  <c r="N183" i="2"/>
  <c r="J183" i="2"/>
  <c r="F183" i="2"/>
  <c r="T182" i="2"/>
  <c r="N182" i="2"/>
  <c r="O182" i="2" s="1"/>
  <c r="J182" i="2"/>
  <c r="F182" i="2"/>
  <c r="Q182" i="2"/>
  <c r="T181" i="2"/>
  <c r="R181" i="2"/>
  <c r="N181" i="2"/>
  <c r="J181" i="2"/>
  <c r="F181" i="2"/>
  <c r="T180" i="2"/>
  <c r="R180" i="2"/>
  <c r="N180" i="2"/>
  <c r="O180" i="2" s="1"/>
  <c r="J180" i="2"/>
  <c r="F180" i="2"/>
  <c r="T179" i="2"/>
  <c r="R179" i="2"/>
  <c r="N179" i="2"/>
  <c r="J179" i="2"/>
  <c r="F179" i="2"/>
  <c r="T178" i="2"/>
  <c r="R178" i="2"/>
  <c r="N178" i="2"/>
  <c r="J178" i="2"/>
  <c r="F178" i="2"/>
  <c r="T177" i="2"/>
  <c r="R177" i="2"/>
  <c r="N177" i="2"/>
  <c r="J177" i="2"/>
  <c r="F177" i="2"/>
  <c r="T176" i="2"/>
  <c r="R176" i="2"/>
  <c r="N176" i="2"/>
  <c r="O176" i="2" s="1"/>
  <c r="J176" i="2"/>
  <c r="F176" i="2"/>
  <c r="T175" i="2"/>
  <c r="R175" i="2"/>
  <c r="N175" i="2"/>
  <c r="J175" i="2"/>
  <c r="F175" i="2"/>
  <c r="T174" i="2"/>
  <c r="R174" i="2"/>
  <c r="N174" i="2"/>
  <c r="J174" i="2"/>
  <c r="F174" i="2"/>
  <c r="O174" i="2" s="1"/>
  <c r="T173" i="2"/>
  <c r="R173" i="2"/>
  <c r="N173" i="2"/>
  <c r="J173" i="2"/>
  <c r="O173" i="2" s="1"/>
  <c r="F173" i="2"/>
  <c r="T172" i="2"/>
  <c r="R172" i="2"/>
  <c r="N172" i="2"/>
  <c r="J172" i="2"/>
  <c r="F172" i="2"/>
  <c r="T171" i="2"/>
  <c r="R171" i="2"/>
  <c r="N171" i="2"/>
  <c r="J171" i="2"/>
  <c r="F171" i="2"/>
  <c r="T170" i="2"/>
  <c r="R170" i="2"/>
  <c r="N170" i="2"/>
  <c r="J170" i="2"/>
  <c r="F170" i="2"/>
  <c r="T169" i="2"/>
  <c r="R169" i="2"/>
  <c r="N169" i="2"/>
  <c r="J169" i="2"/>
  <c r="O169" i="2" s="1"/>
  <c r="Q169" i="2" s="1"/>
  <c r="F169" i="2"/>
  <c r="T168" i="2"/>
  <c r="R168" i="2"/>
  <c r="N168" i="2"/>
  <c r="O168" i="2" s="1"/>
  <c r="J168" i="2"/>
  <c r="F168" i="2"/>
  <c r="T167" i="2"/>
  <c r="R167" i="2"/>
  <c r="N167" i="2"/>
  <c r="J167" i="2"/>
  <c r="F167" i="2"/>
  <c r="T166" i="2"/>
  <c r="R166" i="2"/>
  <c r="N166" i="2"/>
  <c r="J166" i="2"/>
  <c r="F166" i="2"/>
  <c r="O166" i="2" s="1"/>
  <c r="T165" i="2"/>
  <c r="R165" i="2"/>
  <c r="N165" i="2"/>
  <c r="J165" i="2"/>
  <c r="F165" i="2"/>
  <c r="T164" i="2"/>
  <c r="R164" i="2"/>
  <c r="N164" i="2"/>
  <c r="J164" i="2"/>
  <c r="F164" i="2"/>
  <c r="T163" i="2"/>
  <c r="R163" i="2"/>
  <c r="N163" i="2"/>
  <c r="J163" i="2"/>
  <c r="F163" i="2"/>
  <c r="T162" i="2"/>
  <c r="R162" i="2"/>
  <c r="N162" i="2"/>
  <c r="J162" i="2"/>
  <c r="F162" i="2"/>
  <c r="O162" i="2" s="1"/>
  <c r="T161" i="2"/>
  <c r="R161" i="2"/>
  <c r="N161" i="2"/>
  <c r="J161" i="2"/>
  <c r="F161" i="2"/>
  <c r="T160" i="2"/>
  <c r="R160" i="2"/>
  <c r="N160" i="2"/>
  <c r="J160" i="2"/>
  <c r="F160" i="2"/>
  <c r="T159" i="2"/>
  <c r="R159" i="2"/>
  <c r="N159" i="2"/>
  <c r="J159" i="2"/>
  <c r="F159" i="2"/>
  <c r="T158" i="2"/>
  <c r="R158" i="2"/>
  <c r="N158" i="2"/>
  <c r="O158" i="2" s="1"/>
  <c r="J158" i="2"/>
  <c r="F158" i="2"/>
  <c r="T157" i="2"/>
  <c r="R157" i="2"/>
  <c r="N157" i="2"/>
  <c r="J157" i="2"/>
  <c r="O157" i="2"/>
  <c r="F157" i="2"/>
  <c r="T156" i="2"/>
  <c r="R156" i="2"/>
  <c r="N156" i="2"/>
  <c r="J156" i="2"/>
  <c r="F156" i="2"/>
  <c r="T155" i="2"/>
  <c r="R155" i="2"/>
  <c r="N155" i="2"/>
  <c r="J155" i="2"/>
  <c r="O155" i="2" s="1"/>
  <c r="F155" i="2"/>
  <c r="T154" i="2"/>
  <c r="R154" i="2"/>
  <c r="N154" i="2"/>
  <c r="J154" i="2"/>
  <c r="F154" i="2"/>
  <c r="T153" i="2"/>
  <c r="R153" i="2"/>
  <c r="N153" i="2"/>
  <c r="J153" i="2"/>
  <c r="F153" i="2"/>
  <c r="T152" i="2"/>
  <c r="R152" i="2"/>
  <c r="N152" i="2"/>
  <c r="J152" i="2"/>
  <c r="F152" i="2"/>
  <c r="T151" i="2"/>
  <c r="R151" i="2"/>
  <c r="N151" i="2"/>
  <c r="J151" i="2"/>
  <c r="F151" i="2"/>
  <c r="T150" i="2"/>
  <c r="R150" i="2"/>
  <c r="N150" i="2"/>
  <c r="J150" i="2"/>
  <c r="F150" i="2"/>
  <c r="T149" i="2"/>
  <c r="R149" i="2"/>
  <c r="N149" i="2"/>
  <c r="J149" i="2"/>
  <c r="F149" i="2"/>
  <c r="T148" i="2"/>
  <c r="N148" i="2"/>
  <c r="J148" i="2"/>
  <c r="F148" i="2"/>
  <c r="T147" i="2"/>
  <c r="R147" i="2"/>
  <c r="N147" i="2"/>
  <c r="J147" i="2"/>
  <c r="F147" i="2"/>
  <c r="T146" i="2"/>
  <c r="R146" i="2"/>
  <c r="N146" i="2"/>
  <c r="J146" i="2"/>
  <c r="F146" i="2"/>
  <c r="T145" i="2"/>
  <c r="R145" i="2"/>
  <c r="N145" i="2"/>
  <c r="J145" i="2"/>
  <c r="F145" i="2"/>
  <c r="T144" i="2"/>
  <c r="R144" i="2"/>
  <c r="N144" i="2"/>
  <c r="J144" i="2"/>
  <c r="F144" i="2"/>
  <c r="T143" i="2"/>
  <c r="R143" i="2"/>
  <c r="N143" i="2"/>
  <c r="J143" i="2"/>
  <c r="F143" i="2"/>
  <c r="T142" i="2"/>
  <c r="R142" i="2"/>
  <c r="N142" i="2"/>
  <c r="J142" i="2"/>
  <c r="O142" i="2" s="1"/>
  <c r="F142" i="2"/>
  <c r="T141" i="2"/>
  <c r="R141" i="2"/>
  <c r="N141" i="2"/>
  <c r="J141" i="2"/>
  <c r="F141" i="2"/>
  <c r="T140" i="2"/>
  <c r="R140" i="2"/>
  <c r="N140" i="2"/>
  <c r="J140" i="2"/>
  <c r="F140" i="2"/>
  <c r="T139" i="2"/>
  <c r="R139" i="2"/>
  <c r="N139" i="2"/>
  <c r="J139" i="2"/>
  <c r="F139" i="2"/>
  <c r="T138" i="2"/>
  <c r="R138" i="2"/>
  <c r="N138" i="2"/>
  <c r="J138" i="2"/>
  <c r="F138" i="2"/>
  <c r="T137" i="2"/>
  <c r="R137" i="2"/>
  <c r="N137" i="2"/>
  <c r="J137" i="2"/>
  <c r="F137" i="2"/>
  <c r="T136" i="2"/>
  <c r="R136" i="2"/>
  <c r="N136" i="2"/>
  <c r="J136" i="2"/>
  <c r="F136" i="2"/>
  <c r="T135" i="2"/>
  <c r="R135" i="2"/>
  <c r="N135" i="2"/>
  <c r="J135" i="2"/>
  <c r="F135" i="2"/>
  <c r="T134" i="2"/>
  <c r="R134" i="2"/>
  <c r="N134" i="2"/>
  <c r="J134" i="2"/>
  <c r="F134" i="2"/>
  <c r="T133" i="2"/>
  <c r="R133" i="2"/>
  <c r="N133" i="2"/>
  <c r="J133" i="2"/>
  <c r="F133" i="2"/>
  <c r="T132" i="2"/>
  <c r="R132" i="2"/>
  <c r="N132" i="2"/>
  <c r="J132" i="2"/>
  <c r="F132" i="2"/>
  <c r="T131" i="2"/>
  <c r="R131" i="2"/>
  <c r="N131" i="2"/>
  <c r="J131" i="2"/>
  <c r="F131" i="2"/>
  <c r="T130" i="2"/>
  <c r="R130" i="2"/>
  <c r="N130" i="2"/>
  <c r="J130" i="2"/>
  <c r="F130" i="2"/>
  <c r="T129" i="2"/>
  <c r="R129" i="2"/>
  <c r="N129" i="2"/>
  <c r="J129" i="2"/>
  <c r="F129" i="2"/>
  <c r="T128" i="2"/>
  <c r="R128" i="2"/>
  <c r="N128" i="2"/>
  <c r="J128" i="2"/>
  <c r="F128" i="2"/>
  <c r="T127" i="2"/>
  <c r="R127" i="2"/>
  <c r="N127" i="2"/>
  <c r="J127" i="2"/>
  <c r="F127" i="2"/>
  <c r="T126" i="2"/>
  <c r="R126" i="2"/>
  <c r="N126" i="2"/>
  <c r="J126" i="2"/>
  <c r="F126" i="2"/>
  <c r="O126" i="2" s="1"/>
  <c r="T125" i="2"/>
  <c r="R125" i="2"/>
  <c r="N125" i="2"/>
  <c r="J125" i="2"/>
  <c r="F125" i="2"/>
  <c r="T124" i="2"/>
  <c r="R124" i="2"/>
  <c r="N124" i="2"/>
  <c r="J124" i="2"/>
  <c r="O124" i="2" s="1"/>
  <c r="F124" i="2"/>
  <c r="T123" i="2"/>
  <c r="R123" i="2"/>
  <c r="N123" i="2"/>
  <c r="J123" i="2"/>
  <c r="F123" i="2"/>
  <c r="T122" i="2"/>
  <c r="R122" i="2"/>
  <c r="N122" i="2"/>
  <c r="J122" i="2"/>
  <c r="F122" i="2"/>
  <c r="T121" i="2"/>
  <c r="R121" i="2"/>
  <c r="N121" i="2"/>
  <c r="J121" i="2"/>
  <c r="F121" i="2"/>
  <c r="T120" i="2"/>
  <c r="R120" i="2"/>
  <c r="N120" i="2"/>
  <c r="J120" i="2"/>
  <c r="F120" i="2"/>
  <c r="T119" i="2"/>
  <c r="R119" i="2"/>
  <c r="N119" i="2"/>
  <c r="J119" i="2"/>
  <c r="F119" i="2"/>
  <c r="T118" i="2"/>
  <c r="R118" i="2"/>
  <c r="N118" i="2"/>
  <c r="J118" i="2"/>
  <c r="F118" i="2"/>
  <c r="O118" i="2"/>
  <c r="T117" i="2"/>
  <c r="R117" i="2"/>
  <c r="N117" i="2"/>
  <c r="J117" i="2"/>
  <c r="F117" i="2"/>
  <c r="T116" i="2"/>
  <c r="R116" i="2"/>
  <c r="N116" i="2"/>
  <c r="J116" i="2"/>
  <c r="F116" i="2"/>
  <c r="T115" i="2"/>
  <c r="R115" i="2"/>
  <c r="N115" i="2"/>
  <c r="J115" i="2"/>
  <c r="F115" i="2"/>
  <c r="T114" i="2"/>
  <c r="R114" i="2"/>
  <c r="N114" i="2"/>
  <c r="J114" i="2"/>
  <c r="O114" i="2" s="1"/>
  <c r="F114" i="2"/>
  <c r="T113" i="2"/>
  <c r="R113" i="2"/>
  <c r="N113" i="2"/>
  <c r="J113" i="2"/>
  <c r="F113" i="2"/>
  <c r="T112" i="2"/>
  <c r="R112" i="2"/>
  <c r="N112" i="2"/>
  <c r="J112" i="2"/>
  <c r="F112" i="2"/>
  <c r="T111" i="2"/>
  <c r="R111" i="2"/>
  <c r="N111" i="2"/>
  <c r="J111" i="2"/>
  <c r="F111" i="2"/>
  <c r="T110" i="2"/>
  <c r="R110" i="2"/>
  <c r="N110" i="2"/>
  <c r="J110" i="2"/>
  <c r="F110" i="2"/>
  <c r="T109" i="2"/>
  <c r="R109" i="2"/>
  <c r="N109" i="2"/>
  <c r="J109" i="2"/>
  <c r="F109" i="2"/>
  <c r="T108" i="2"/>
  <c r="R108" i="2"/>
  <c r="N108" i="2"/>
  <c r="J108" i="2"/>
  <c r="F108" i="2"/>
  <c r="T107" i="2"/>
  <c r="R107" i="2"/>
  <c r="N107" i="2"/>
  <c r="J107" i="2"/>
  <c r="F107" i="2"/>
  <c r="T106" i="2"/>
  <c r="R106" i="2"/>
  <c r="N106" i="2"/>
  <c r="J106" i="2"/>
  <c r="F106" i="2"/>
  <c r="T105" i="2"/>
  <c r="R105" i="2"/>
  <c r="N105" i="2"/>
  <c r="J105" i="2"/>
  <c r="F105" i="2"/>
  <c r="T104" i="2"/>
  <c r="R104" i="2"/>
  <c r="N104" i="2"/>
  <c r="J104" i="2"/>
  <c r="F104" i="2"/>
  <c r="T103" i="2"/>
  <c r="R103" i="2"/>
  <c r="N103" i="2"/>
  <c r="J103" i="2"/>
  <c r="F103" i="2"/>
  <c r="T102" i="2"/>
  <c r="N102" i="2"/>
  <c r="J102" i="2"/>
  <c r="F102" i="2"/>
  <c r="T101" i="2"/>
  <c r="R101" i="2"/>
  <c r="N101" i="2"/>
  <c r="J101" i="2"/>
  <c r="O101" i="2" s="1"/>
  <c r="F101" i="2"/>
  <c r="T100" i="2"/>
  <c r="R100" i="2"/>
  <c r="N100" i="2"/>
  <c r="J100" i="2"/>
  <c r="F100" i="2"/>
  <c r="T99" i="2"/>
  <c r="R99" i="2"/>
  <c r="N99" i="2"/>
  <c r="J99" i="2"/>
  <c r="F99" i="2"/>
  <c r="T98" i="2"/>
  <c r="R98" i="2"/>
  <c r="N98" i="2"/>
  <c r="J98" i="2"/>
  <c r="F98" i="2"/>
  <c r="T97" i="2"/>
  <c r="R97" i="2"/>
  <c r="N97" i="2"/>
  <c r="J97" i="2"/>
  <c r="F97" i="2"/>
  <c r="T96" i="2"/>
  <c r="N96" i="2"/>
  <c r="J96" i="2"/>
  <c r="F96" i="2"/>
  <c r="O96" i="2"/>
  <c r="T95" i="2"/>
  <c r="N95" i="2"/>
  <c r="J95" i="2"/>
  <c r="F95" i="2"/>
  <c r="O95" i="2" s="1"/>
  <c r="T94" i="2"/>
  <c r="N94" i="2"/>
  <c r="J94" i="2"/>
  <c r="F94" i="2"/>
  <c r="O94" i="2" s="1"/>
  <c r="T93" i="2"/>
  <c r="N93" i="2"/>
  <c r="O93" i="2" s="1"/>
  <c r="Q93" i="2" s="1"/>
  <c r="J93" i="2"/>
  <c r="F93" i="2"/>
  <c r="T92" i="2"/>
  <c r="N92" i="2"/>
  <c r="J92" i="2"/>
  <c r="F92" i="2"/>
  <c r="O92" i="2"/>
  <c r="T91" i="2"/>
  <c r="N91" i="2"/>
  <c r="J91" i="2"/>
  <c r="F91" i="2"/>
  <c r="T90" i="2"/>
  <c r="N90" i="2"/>
  <c r="J90" i="2"/>
  <c r="F90" i="2"/>
  <c r="O90" i="2" s="1"/>
  <c r="Q90" i="2" s="1"/>
  <c r="T89" i="2"/>
  <c r="R89" i="2"/>
  <c r="N89" i="2"/>
  <c r="J89" i="2"/>
  <c r="F89" i="2"/>
  <c r="O89" i="2" s="1"/>
  <c r="T88" i="2"/>
  <c r="N88" i="2"/>
  <c r="J88" i="2"/>
  <c r="F88" i="2"/>
  <c r="O88" i="2" s="1"/>
  <c r="T87" i="2"/>
  <c r="N87" i="2"/>
  <c r="J87" i="2"/>
  <c r="F87" i="2"/>
  <c r="T86" i="2"/>
  <c r="N86" i="2"/>
  <c r="J86" i="2"/>
  <c r="O86" i="2"/>
  <c r="Q86" i="2" s="1"/>
  <c r="F86" i="2"/>
  <c r="T85" i="2"/>
  <c r="N85" i="2"/>
  <c r="J85" i="2"/>
  <c r="F85" i="2"/>
  <c r="O85" i="2" s="1"/>
  <c r="P85" i="2" s="1"/>
  <c r="T84" i="2"/>
  <c r="N84" i="2"/>
  <c r="J84" i="2"/>
  <c r="F84" i="2"/>
  <c r="T83" i="2"/>
  <c r="N83" i="2"/>
  <c r="J83" i="2"/>
  <c r="F83" i="2"/>
  <c r="T82" i="2"/>
  <c r="N82" i="2"/>
  <c r="J82" i="2"/>
  <c r="F82" i="2"/>
  <c r="T81" i="2"/>
  <c r="N81" i="2"/>
  <c r="J81" i="2"/>
  <c r="O81" i="2"/>
  <c r="P81" i="2" s="1"/>
  <c r="F81" i="2"/>
  <c r="T80" i="2"/>
  <c r="N80" i="2"/>
  <c r="J80" i="2"/>
  <c r="F80" i="2"/>
  <c r="T79" i="2"/>
  <c r="N79" i="2"/>
  <c r="J79" i="2"/>
  <c r="F79" i="2"/>
  <c r="T78" i="2"/>
  <c r="N78" i="2"/>
  <c r="J78" i="2"/>
  <c r="F78" i="2"/>
  <c r="T77" i="2"/>
  <c r="N77" i="2"/>
  <c r="J77" i="2"/>
  <c r="F77" i="2"/>
  <c r="T76" i="2"/>
  <c r="N76" i="2"/>
  <c r="J76" i="2"/>
  <c r="F76" i="2"/>
  <c r="T75" i="2"/>
  <c r="N75" i="2"/>
  <c r="J75" i="2"/>
  <c r="F75" i="2"/>
  <c r="T74" i="2"/>
  <c r="N74" i="2"/>
  <c r="J74" i="2"/>
  <c r="F74" i="2"/>
  <c r="T73" i="2"/>
  <c r="N73" i="2"/>
  <c r="J73" i="2"/>
  <c r="F73" i="2"/>
  <c r="T72" i="2"/>
  <c r="N72" i="2"/>
  <c r="J72" i="2"/>
  <c r="F72" i="2"/>
  <c r="T71" i="2"/>
  <c r="N71" i="2"/>
  <c r="J71" i="2"/>
  <c r="F71" i="2"/>
  <c r="T70" i="2"/>
  <c r="N70" i="2"/>
  <c r="J70" i="2"/>
  <c r="F70" i="2"/>
  <c r="T69" i="2"/>
  <c r="N69" i="2"/>
  <c r="J69" i="2"/>
  <c r="F69" i="2"/>
  <c r="T68" i="2"/>
  <c r="R68" i="2"/>
  <c r="N68" i="2"/>
  <c r="J68" i="2"/>
  <c r="F68" i="2"/>
  <c r="T67" i="2"/>
  <c r="R67" i="2"/>
  <c r="N67" i="2"/>
  <c r="J67" i="2"/>
  <c r="F67" i="2"/>
  <c r="T66" i="2"/>
  <c r="R66" i="2"/>
  <c r="N66" i="2"/>
  <c r="J66" i="2"/>
  <c r="F66" i="2"/>
  <c r="T65" i="2"/>
  <c r="R65" i="2"/>
  <c r="N65" i="2"/>
  <c r="J65" i="2"/>
  <c r="F65" i="2"/>
  <c r="T64" i="2"/>
  <c r="R64" i="2"/>
  <c r="N64" i="2"/>
  <c r="J64" i="2"/>
  <c r="F64" i="2"/>
  <c r="T63" i="2"/>
  <c r="R63" i="2"/>
  <c r="N63" i="2"/>
  <c r="J63" i="2"/>
  <c r="F63" i="2"/>
  <c r="T62" i="2"/>
  <c r="R62" i="2"/>
  <c r="N62" i="2"/>
  <c r="J62" i="2"/>
  <c r="F62" i="2"/>
  <c r="T61" i="2"/>
  <c r="R61" i="2"/>
  <c r="N61" i="2"/>
  <c r="J61" i="2"/>
  <c r="F61" i="2"/>
  <c r="T60" i="2"/>
  <c r="R60" i="2"/>
  <c r="N60" i="2"/>
  <c r="J60" i="2"/>
  <c r="F60" i="2"/>
  <c r="T59" i="2"/>
  <c r="R59" i="2"/>
  <c r="N59" i="2"/>
  <c r="J59" i="2"/>
  <c r="F59" i="2"/>
  <c r="T58" i="2"/>
  <c r="R58" i="2"/>
  <c r="N58" i="2"/>
  <c r="J58" i="2"/>
  <c r="T57" i="2"/>
  <c r="R57" i="2"/>
  <c r="N57" i="2"/>
  <c r="J57" i="2"/>
  <c r="F57" i="2"/>
  <c r="T56" i="2"/>
  <c r="R56" i="2"/>
  <c r="N56" i="2"/>
  <c r="J56" i="2"/>
  <c r="T55" i="2"/>
  <c r="R55" i="2"/>
  <c r="N55" i="2"/>
  <c r="J55" i="2"/>
  <c r="F55" i="2"/>
  <c r="T54" i="2"/>
  <c r="R54" i="2"/>
  <c r="N54" i="2"/>
  <c r="J54" i="2"/>
  <c r="F54" i="2"/>
  <c r="T53" i="2"/>
  <c r="R53" i="2"/>
  <c r="N53" i="2"/>
  <c r="J53" i="2"/>
  <c r="T52" i="2"/>
  <c r="R52" i="2"/>
  <c r="N52" i="2"/>
  <c r="J52" i="2"/>
  <c r="T51" i="2"/>
  <c r="R51" i="2"/>
  <c r="N51" i="2"/>
  <c r="J51" i="2"/>
  <c r="F51" i="2"/>
  <c r="T50" i="2"/>
  <c r="R50" i="2"/>
  <c r="N50" i="2"/>
  <c r="J50" i="2"/>
  <c r="F50" i="2"/>
  <c r="T49" i="2"/>
  <c r="R49" i="2"/>
  <c r="N49" i="2"/>
  <c r="J49" i="2"/>
  <c r="F49" i="2"/>
  <c r="T48" i="2"/>
  <c r="R48" i="2"/>
  <c r="N48" i="2"/>
  <c r="J48" i="2"/>
  <c r="F48" i="2"/>
  <c r="T47" i="2"/>
  <c r="R47" i="2"/>
  <c r="N47" i="2"/>
  <c r="J47" i="2"/>
  <c r="F47" i="2"/>
  <c r="T46" i="2"/>
  <c r="R46" i="2"/>
  <c r="N46" i="2"/>
  <c r="J46" i="2"/>
  <c r="F46" i="2"/>
  <c r="T45" i="2"/>
  <c r="R45" i="2"/>
  <c r="N45" i="2"/>
  <c r="J45" i="2"/>
  <c r="F45" i="2"/>
  <c r="T44" i="2"/>
  <c r="R44" i="2"/>
  <c r="N44" i="2"/>
  <c r="J44" i="2"/>
  <c r="F44" i="2"/>
  <c r="T43" i="2"/>
  <c r="R43" i="2"/>
  <c r="N43" i="2"/>
  <c r="J43" i="2"/>
  <c r="F43" i="2"/>
  <c r="T42" i="2"/>
  <c r="R42" i="2"/>
  <c r="N42" i="2"/>
  <c r="J42" i="2"/>
  <c r="F42" i="2"/>
  <c r="T41" i="2"/>
  <c r="R41" i="2"/>
  <c r="N41" i="2"/>
  <c r="J41" i="2"/>
  <c r="F41" i="2"/>
  <c r="T40" i="2"/>
  <c r="R40" i="2"/>
  <c r="N40" i="2"/>
  <c r="J40" i="2"/>
  <c r="F40" i="2"/>
  <c r="T39" i="2"/>
  <c r="R39" i="2"/>
  <c r="N39" i="2"/>
  <c r="J39" i="2"/>
  <c r="F39" i="2"/>
  <c r="T38" i="2"/>
  <c r="R38" i="2"/>
  <c r="N38" i="2"/>
  <c r="J38" i="2"/>
  <c r="F38" i="2"/>
  <c r="T37" i="2"/>
  <c r="R37" i="2"/>
  <c r="N37" i="2"/>
  <c r="J37" i="2"/>
  <c r="F37" i="2"/>
  <c r="T36" i="2"/>
  <c r="R36" i="2"/>
  <c r="N36" i="2"/>
  <c r="J36" i="2"/>
  <c r="F36" i="2"/>
  <c r="T35" i="2"/>
  <c r="R35" i="2"/>
  <c r="N35" i="2"/>
  <c r="J35" i="2"/>
  <c r="F35" i="2"/>
  <c r="T34" i="2"/>
  <c r="R34" i="2"/>
  <c r="N34" i="2"/>
  <c r="J34" i="2"/>
  <c r="F34" i="2"/>
  <c r="T33" i="2"/>
  <c r="R33" i="2"/>
  <c r="N33" i="2"/>
  <c r="J33" i="2"/>
  <c r="F33" i="2"/>
  <c r="S32" i="2"/>
  <c r="T32" i="2" s="1"/>
  <c r="R32" i="2"/>
  <c r="N32" i="2"/>
  <c r="J32" i="2"/>
  <c r="F32" i="2"/>
  <c r="T31" i="2"/>
  <c r="R31" i="2"/>
  <c r="N31" i="2"/>
  <c r="J31" i="2"/>
  <c r="F31" i="2"/>
  <c r="T30" i="2"/>
  <c r="R30" i="2"/>
  <c r="N30" i="2"/>
  <c r="J30" i="2"/>
  <c r="C30" i="2"/>
  <c r="F30" i="2"/>
  <c r="T29" i="2"/>
  <c r="R29" i="2"/>
  <c r="N29" i="2"/>
  <c r="J29" i="2"/>
  <c r="O29" i="2" s="1"/>
  <c r="F29" i="2"/>
  <c r="T28" i="2"/>
  <c r="R28" i="2"/>
  <c r="N28" i="2"/>
  <c r="J28" i="2"/>
  <c r="T27" i="2"/>
  <c r="R27" i="2"/>
  <c r="N27" i="2"/>
  <c r="O27" i="2"/>
  <c r="Q27" i="2"/>
  <c r="J27" i="2"/>
  <c r="F27" i="2"/>
  <c r="T26" i="2"/>
  <c r="R26" i="2"/>
  <c r="N26" i="2"/>
  <c r="J26" i="2"/>
  <c r="F26" i="2"/>
  <c r="T25" i="2"/>
  <c r="R25" i="2"/>
  <c r="N25" i="2"/>
  <c r="J25" i="2"/>
  <c r="F25" i="2"/>
  <c r="O25" i="2" s="1"/>
  <c r="P25" i="2" s="1"/>
  <c r="T24" i="2"/>
  <c r="N24" i="2"/>
  <c r="O24" i="2" s="1"/>
  <c r="J24" i="2"/>
  <c r="F24" i="2"/>
  <c r="T23" i="2"/>
  <c r="R23" i="2"/>
  <c r="R24" i="2" s="1"/>
  <c r="N23" i="2"/>
  <c r="J23" i="2"/>
  <c r="F23" i="2"/>
  <c r="T22" i="2"/>
  <c r="R22" i="2"/>
  <c r="N22" i="2"/>
  <c r="O22" i="2"/>
  <c r="J22" i="2"/>
  <c r="F22" i="2"/>
  <c r="T21" i="2"/>
  <c r="R21" i="2"/>
  <c r="N21" i="2"/>
  <c r="J21" i="2"/>
  <c r="F21" i="2"/>
  <c r="T20" i="2"/>
  <c r="R20" i="2"/>
  <c r="N20" i="2"/>
  <c r="J20" i="2"/>
  <c r="O20" i="2" s="1"/>
  <c r="F20" i="2"/>
  <c r="T19" i="2"/>
  <c r="R19" i="2"/>
  <c r="N19" i="2"/>
  <c r="J19" i="2"/>
  <c r="F19" i="2"/>
  <c r="T18" i="2"/>
  <c r="R18" i="2"/>
  <c r="N18" i="2"/>
  <c r="J18" i="2"/>
  <c r="F18" i="2"/>
  <c r="T17" i="2"/>
  <c r="R17" i="2"/>
  <c r="N17" i="2"/>
  <c r="J17" i="2"/>
  <c r="F17" i="2"/>
  <c r="T16" i="2"/>
  <c r="R16" i="2"/>
  <c r="N16" i="2"/>
  <c r="J16" i="2"/>
  <c r="F16" i="2"/>
  <c r="T15" i="2"/>
  <c r="R15" i="2"/>
  <c r="N15" i="2"/>
  <c r="J15" i="2"/>
  <c r="F15" i="2"/>
  <c r="T14" i="2"/>
  <c r="R14" i="2"/>
  <c r="N14" i="2"/>
  <c r="J14" i="2"/>
  <c r="F14" i="2"/>
  <c r="T13" i="2"/>
  <c r="R13" i="2"/>
  <c r="N13" i="2"/>
  <c r="J13" i="2"/>
  <c r="F13" i="2"/>
  <c r="T12" i="2"/>
  <c r="R12" i="2"/>
  <c r="N12" i="2"/>
  <c r="J12" i="2"/>
  <c r="O12" i="2" s="1"/>
  <c r="Q12" i="2" s="1"/>
  <c r="F12" i="2"/>
  <c r="T11" i="2"/>
  <c r="R11" i="2"/>
  <c r="N11" i="2"/>
  <c r="J11" i="2"/>
  <c r="F11" i="2"/>
  <c r="T10" i="2"/>
  <c r="R10" i="2"/>
  <c r="N10" i="2"/>
  <c r="J10" i="2"/>
  <c r="F10" i="2"/>
  <c r="T9" i="2"/>
  <c r="R9" i="2"/>
  <c r="N9" i="2"/>
  <c r="J9" i="2"/>
  <c r="F9" i="2"/>
  <c r="T8" i="2"/>
  <c r="R8" i="2"/>
  <c r="N8" i="2"/>
  <c r="O8" i="2" s="1"/>
  <c r="J8" i="2"/>
  <c r="F8" i="2"/>
  <c r="T7" i="2"/>
  <c r="R7" i="2"/>
  <c r="N7" i="2"/>
  <c r="J7" i="2"/>
  <c r="F7" i="2"/>
  <c r="O186" i="2"/>
  <c r="Q186" i="2"/>
  <c r="O195" i="2"/>
  <c r="Q195" i="2" s="1"/>
  <c r="P416" i="2"/>
  <c r="O305" i="2"/>
  <c r="Q305" i="2" s="1"/>
  <c r="O147" i="2"/>
  <c r="Q147" i="2"/>
  <c r="O422" i="2"/>
  <c r="O203" i="2"/>
  <c r="O293" i="2"/>
  <c r="Q293" i="2"/>
  <c r="O368" i="2"/>
  <c r="O134" i="2"/>
  <c r="Q134" i="2" s="1"/>
  <c r="O185" i="2"/>
  <c r="Q185" i="2"/>
  <c r="O197" i="2"/>
  <c r="O79" i="2"/>
  <c r="P79" i="2" s="1"/>
  <c r="O56" i="2"/>
  <c r="P56" i="2"/>
  <c r="O91" i="2"/>
  <c r="O187" i="2"/>
  <c r="O210" i="2"/>
  <c r="Q210" i="2"/>
  <c r="P340" i="2"/>
  <c r="O420" i="2"/>
  <c r="O444" i="2"/>
  <c r="O41" i="2"/>
  <c r="O69" i="2"/>
  <c r="P69" i="2" s="1"/>
  <c r="O146" i="2"/>
  <c r="Q146" i="2"/>
  <c r="O171" i="2"/>
  <c r="O281" i="2"/>
  <c r="P372" i="2"/>
  <c r="O393" i="2"/>
  <c r="Q393" i="2" s="1"/>
  <c r="O401" i="2"/>
  <c r="O424" i="2"/>
  <c r="P424" i="2" s="1"/>
  <c r="O364" i="2"/>
  <c r="P364" i="2" s="1"/>
  <c r="O376" i="2"/>
  <c r="O122" i="2"/>
  <c r="O138" i="2"/>
  <c r="Q138" i="2"/>
  <c r="O201" i="2"/>
  <c r="P287" i="2"/>
  <c r="O328" i="2"/>
  <c r="O332" i="2"/>
  <c r="O151" i="2"/>
  <c r="P151" i="2" s="1"/>
  <c r="O205" i="2"/>
  <c r="O266" i="2"/>
  <c r="O291" i="2"/>
  <c r="Q291" i="2" s="1"/>
  <c r="P296" i="2"/>
  <c r="O318" i="2"/>
  <c r="O321" i="2"/>
  <c r="O335" i="2"/>
  <c r="P335" i="2"/>
  <c r="O356" i="2"/>
  <c r="O397" i="2"/>
  <c r="O404" i="2"/>
  <c r="O423" i="2"/>
  <c r="P423" i="2"/>
  <c r="O426" i="2"/>
  <c r="P95" i="2"/>
  <c r="Q155" i="2"/>
  <c r="P155" i="2"/>
  <c r="P90" i="2"/>
  <c r="U90" i="2" s="1"/>
  <c r="V90" i="2"/>
  <c r="P134" i="2"/>
  <c r="O32" i="2"/>
  <c r="O36" i="2"/>
  <c r="Q36" i="2" s="1"/>
  <c r="O44" i="2"/>
  <c r="O68" i="2"/>
  <c r="Q85" i="2"/>
  <c r="P138" i="2"/>
  <c r="Q142" i="2"/>
  <c r="P142" i="2"/>
  <c r="P184" i="2"/>
  <c r="P194" i="2"/>
  <c r="U194" i="2"/>
  <c r="V194" i="2" s="1"/>
  <c r="O99" i="2"/>
  <c r="O104" i="2"/>
  <c r="O108" i="2"/>
  <c r="O112" i="2"/>
  <c r="O116" i="2"/>
  <c r="P116" i="2"/>
  <c r="O120" i="2"/>
  <c r="O128" i="2"/>
  <c r="O132" i="2"/>
  <c r="O136" i="2"/>
  <c r="O140" i="2"/>
  <c r="P147" i="2"/>
  <c r="O163" i="2"/>
  <c r="Q180" i="2"/>
  <c r="P185" i="2"/>
  <c r="U185" i="2" s="1"/>
  <c r="P186" i="2"/>
  <c r="P187" i="2"/>
  <c r="O188" i="2"/>
  <c r="P188" i="2" s="1"/>
  <c r="O192" i="2"/>
  <c r="Q192" i="2" s="1"/>
  <c r="O196" i="2"/>
  <c r="O200" i="2"/>
  <c r="O204" i="2"/>
  <c r="P210" i="2"/>
  <c r="U210" i="2"/>
  <c r="V210" i="2" s="1"/>
  <c r="O211" i="2"/>
  <c r="P214" i="2"/>
  <c r="Q287" i="2"/>
  <c r="O215" i="2"/>
  <c r="O219" i="2"/>
  <c r="O227" i="2"/>
  <c r="O231" i="2"/>
  <c r="O234" i="2"/>
  <c r="O235" i="2"/>
  <c r="O239" i="2"/>
  <c r="P291" i="2"/>
  <c r="U291" i="2"/>
  <c r="V291" i="2" s="1"/>
  <c r="P281" i="2"/>
  <c r="P289" i="2"/>
  <c r="P293" i="2"/>
  <c r="U293" i="2" s="1"/>
  <c r="O300" i="2"/>
  <c r="P301" i="2"/>
  <c r="Y340" i="2"/>
  <c r="Z340" i="2"/>
  <c r="P305" i="2"/>
  <c r="Q330" i="2"/>
  <c r="U330" i="2"/>
  <c r="V330" i="2" s="1"/>
  <c r="O262" i="2"/>
  <c r="O265" i="2"/>
  <c r="O269" i="2"/>
  <c r="O273" i="2"/>
  <c r="Q317" i="2"/>
  <c r="Q328" i="2"/>
  <c r="U328" i="2"/>
  <c r="V328" i="2" s="1"/>
  <c r="P328" i="2"/>
  <c r="O338" i="2"/>
  <c r="O339" i="2"/>
  <c r="O342" i="2"/>
  <c r="O343" i="2"/>
  <c r="P334" i="2"/>
  <c r="Q334" i="2"/>
  <c r="Q335" i="2"/>
  <c r="U335" i="2"/>
  <c r="V335" i="2" s="1"/>
  <c r="Q364" i="2"/>
  <c r="Q337" i="2"/>
  <c r="P337" i="2"/>
  <c r="Q368" i="2"/>
  <c r="U368" i="2"/>
  <c r="V368" i="2" s="1"/>
  <c r="P368" i="2"/>
  <c r="O369" i="2"/>
  <c r="O373" i="2"/>
  <c r="O377" i="2"/>
  <c r="Q389" i="2"/>
  <c r="P389" i="2"/>
  <c r="Q390" i="2"/>
  <c r="P390" i="2"/>
  <c r="Q392" i="2"/>
  <c r="P392" i="2"/>
  <c r="U392" i="2"/>
  <c r="V392" i="2" s="1"/>
  <c r="P393" i="2"/>
  <c r="Q401" i="2"/>
  <c r="P401" i="2"/>
  <c r="Q380" i="2"/>
  <c r="P380" i="2"/>
  <c r="O346" i="2"/>
  <c r="O350" i="2"/>
  <c r="O354" i="2"/>
  <c r="O366" i="2"/>
  <c r="O371" i="2"/>
  <c r="Q372" i="2"/>
  <c r="O375" i="2"/>
  <c r="Q376" i="2"/>
  <c r="O379" i="2"/>
  <c r="P404" i="2"/>
  <c r="Q400" i="2"/>
  <c r="U400" i="2"/>
  <c r="V400" i="2" s="1"/>
  <c r="O412" i="2"/>
  <c r="O414" i="2"/>
  <c r="Q424" i="2"/>
  <c r="O403" i="2"/>
  <c r="P422" i="2"/>
  <c r="Y439" i="2"/>
  <c r="Z439" i="2" s="1"/>
  <c r="O405" i="2"/>
  <c r="Y407" i="2"/>
  <c r="Z407" i="2"/>
  <c r="Y408" i="2"/>
  <c r="Z408" i="2"/>
  <c r="O409" i="2"/>
  <c r="P409" i="2"/>
  <c r="Q423" i="2"/>
  <c r="U423" i="2"/>
  <c r="Q416" i="2"/>
  <c r="U416" i="2"/>
  <c r="V416" i="2" s="1"/>
  <c r="Q425" i="2"/>
  <c r="U425" i="2" s="1"/>
  <c r="V425" i="2" s="1"/>
  <c r="Y406" i="2"/>
  <c r="Z406" i="2" s="1"/>
  <c r="Y410" i="2"/>
  <c r="Z410" i="2" s="1"/>
  <c r="Y411" i="2"/>
  <c r="Z411" i="2" s="1"/>
  <c r="P297" i="2"/>
  <c r="U297" i="2" s="1"/>
  <c r="V297" i="2"/>
  <c r="P146" i="2"/>
  <c r="U146" i="2"/>
  <c r="V146" i="2" s="1"/>
  <c r="Y146" i="2"/>
  <c r="Z146" i="2" s="1"/>
  <c r="Y10" i="2"/>
  <c r="Z10" i="2" s="1"/>
  <c r="Y84" i="2"/>
  <c r="Z84" i="2" s="1"/>
  <c r="Y417" i="2"/>
  <c r="Z417" i="2" s="1"/>
  <c r="Y183" i="2"/>
  <c r="Z183" i="2" s="1"/>
  <c r="Q94" i="2"/>
  <c r="P94" i="2"/>
  <c r="Q96" i="2"/>
  <c r="P96" i="2"/>
  <c r="U96" i="2"/>
  <c r="V96" i="2" s="1"/>
  <c r="Y364" i="2"/>
  <c r="Z364" i="2" s="1"/>
  <c r="Y360" i="2"/>
  <c r="Z360" i="2" s="1"/>
  <c r="Y443" i="2"/>
  <c r="Z443" i="2" s="1"/>
  <c r="Y421" i="2"/>
  <c r="Z421" i="2" s="1"/>
  <c r="Y433" i="2"/>
  <c r="Z433" i="2" s="1"/>
  <c r="Y426" i="2"/>
  <c r="Z426" i="2" s="1"/>
  <c r="Y420" i="2"/>
  <c r="Z420" i="2" s="1"/>
  <c r="Y434" i="2"/>
  <c r="Z434" i="2" s="1"/>
  <c r="Y427" i="2"/>
  <c r="Z427" i="2" s="1"/>
  <c r="Y396" i="2"/>
  <c r="Z396" i="2" s="1"/>
  <c r="Y357" i="2"/>
  <c r="Z357" i="2" s="1"/>
  <c r="Y394" i="2"/>
  <c r="Z394" i="2" s="1"/>
  <c r="Y402" i="2"/>
  <c r="Z402" i="2" s="1"/>
  <c r="Y399" i="2"/>
  <c r="Z399" i="2" s="1"/>
  <c r="Y355" i="2"/>
  <c r="Z355" i="2" s="1"/>
  <c r="Y319" i="2"/>
  <c r="Z319" i="2" s="1"/>
  <c r="Y303" i="2"/>
  <c r="Z303" i="2" s="1"/>
  <c r="Y318" i="2"/>
  <c r="Z318" i="2" s="1"/>
  <c r="Y286" i="2"/>
  <c r="Z286" i="2" s="1"/>
  <c r="Y317" i="2"/>
  <c r="Z317" i="2" s="1"/>
  <c r="Y276" i="2"/>
  <c r="Z276" i="2" s="1"/>
  <c r="Y312" i="2"/>
  <c r="Z312" i="2" s="1"/>
  <c r="Y266" i="2"/>
  <c r="Z266" i="2" s="1"/>
  <c r="Y435" i="2"/>
  <c r="Z435" i="2" s="1"/>
  <c r="Y391" i="2"/>
  <c r="Z391" i="2" s="1"/>
  <c r="Y398" i="2"/>
  <c r="Z398" i="2" s="1"/>
  <c r="Y376" i="2"/>
  <c r="Z376" i="2" s="1"/>
  <c r="Y378" i="2"/>
  <c r="Z378" i="2" s="1"/>
  <c r="Y336" i="2"/>
  <c r="Z336" i="2" s="1"/>
  <c r="Y333" i="2"/>
  <c r="Z333" i="2" s="1"/>
  <c r="Y329" i="2"/>
  <c r="Z329" i="2" s="1"/>
  <c r="Y299" i="2"/>
  <c r="Z299" i="2" s="1"/>
  <c r="Y282" i="2"/>
  <c r="Z282" i="2" s="1"/>
  <c r="Y325" i="2"/>
  <c r="Z325" i="2" s="1"/>
  <c r="Y314" i="2"/>
  <c r="Z314" i="2" s="1"/>
  <c r="Y305" i="2"/>
  <c r="Z305" i="2" s="1"/>
  <c r="Y285" i="2"/>
  <c r="Z285" i="2" s="1"/>
  <c r="Y263" i="2"/>
  <c r="Z263" i="2" s="1"/>
  <c r="Y210" i="2"/>
  <c r="Z210" i="2" s="1"/>
  <c r="Y203" i="2"/>
  <c r="Z203" i="2" s="1"/>
  <c r="Y275" i="2"/>
  <c r="Z275" i="2" s="1"/>
  <c r="Y160" i="2"/>
  <c r="Z160" i="2" s="1"/>
  <c r="Y197" i="2"/>
  <c r="Z197" i="2" s="1"/>
  <c r="Y156" i="2"/>
  <c r="Z156" i="2" s="1"/>
  <c r="Y143" i="2"/>
  <c r="Z143" i="2" s="1"/>
  <c r="Y123" i="2"/>
  <c r="Z123" i="2" s="1"/>
  <c r="Y111" i="2"/>
  <c r="Z111" i="2" s="1"/>
  <c r="Y151" i="2"/>
  <c r="Z151" i="2" s="1"/>
  <c r="Y141" i="2"/>
  <c r="Z141" i="2" s="1"/>
  <c r="Y122" i="2"/>
  <c r="Z122" i="2" s="1"/>
  <c r="Y81" i="2"/>
  <c r="Z81" i="2" s="1"/>
  <c r="Y73" i="2"/>
  <c r="Z73" i="2" s="1"/>
  <c r="Y59" i="2"/>
  <c r="Z59" i="2"/>
  <c r="Y52" i="2"/>
  <c r="Z52" i="2" s="1"/>
  <c r="Y19" i="2"/>
  <c r="Z19" i="2"/>
  <c r="Y168" i="2"/>
  <c r="Z168" i="2" s="1"/>
  <c r="Y149" i="2"/>
  <c r="Z149" i="2" s="1"/>
  <c r="Y117" i="2"/>
  <c r="Z117" i="2" s="1"/>
  <c r="Y80" i="2"/>
  <c r="Z80" i="2" s="1"/>
  <c r="Y58" i="2"/>
  <c r="Z58" i="2" s="1"/>
  <c r="Y22" i="2"/>
  <c r="Z22" i="2"/>
  <c r="Y56" i="2"/>
  <c r="Z56" i="2" s="1"/>
  <c r="Y46" i="2"/>
  <c r="Z46" i="2"/>
  <c r="Y18" i="2"/>
  <c r="Z18" i="2" s="1"/>
  <c r="Y42" i="2"/>
  <c r="Z42" i="2" s="1"/>
  <c r="Y441" i="2"/>
  <c r="Z441" i="2" s="1"/>
  <c r="Y431" i="2"/>
  <c r="Z431" i="2" s="1"/>
  <c r="Y424" i="2"/>
  <c r="Z424" i="2" s="1"/>
  <c r="Y374" i="2"/>
  <c r="Z374" i="2"/>
  <c r="Y386" i="2"/>
  <c r="Z386" i="2" s="1"/>
  <c r="Y393" i="2"/>
  <c r="Z393" i="2"/>
  <c r="Y390" i="2"/>
  <c r="Z390" i="2" s="1"/>
  <c r="Y356" i="2"/>
  <c r="Z356" i="2" s="1"/>
  <c r="Y341" i="2"/>
  <c r="Z341" i="2" s="1"/>
  <c r="Y326" i="2"/>
  <c r="Z326" i="2" s="1"/>
  <c r="Y320" i="2"/>
  <c r="Z320" i="2" s="1"/>
  <c r="Y332" i="2"/>
  <c r="Z332" i="2"/>
  <c r="Y272" i="2"/>
  <c r="Z272" i="2" s="1"/>
  <c r="Y313" i="2"/>
  <c r="Z313" i="2"/>
  <c r="Y304" i="2"/>
  <c r="Z304" i="2" s="1"/>
  <c r="Y301" i="2"/>
  <c r="Z301" i="2" s="1"/>
  <c r="Y284" i="2"/>
  <c r="Z284" i="2" s="1"/>
  <c r="Y295" i="2"/>
  <c r="Z295" i="2" s="1"/>
  <c r="Y267" i="2"/>
  <c r="Z267" i="2" s="1"/>
  <c r="Y271" i="2"/>
  <c r="Z271" i="2"/>
  <c r="Y212" i="2"/>
  <c r="Z212" i="2" s="1"/>
  <c r="Y190" i="2"/>
  <c r="Z190" i="2"/>
  <c r="Y167" i="2"/>
  <c r="Z167" i="2" s="1"/>
  <c r="Y202" i="2"/>
  <c r="Z202" i="2" s="1"/>
  <c r="Y152" i="2"/>
  <c r="Z152" i="2"/>
  <c r="Y194" i="2"/>
  <c r="Z194" i="2" s="1"/>
  <c r="Y184" i="2"/>
  <c r="Z184" i="2"/>
  <c r="Y161" i="2"/>
  <c r="Z161" i="2" s="1"/>
  <c r="Y142" i="2"/>
  <c r="Z142" i="2"/>
  <c r="Y125" i="2"/>
  <c r="Z125" i="2" s="1"/>
  <c r="Y109" i="2"/>
  <c r="Z109" i="2"/>
  <c r="Y159" i="2"/>
  <c r="Z159" i="2" s="1"/>
  <c r="Y144" i="2"/>
  <c r="Z144" i="2"/>
  <c r="Y39" i="2"/>
  <c r="Z39" i="2" s="1"/>
  <c r="Y28" i="2"/>
  <c r="Z28" i="2" s="1"/>
  <c r="Y172" i="2"/>
  <c r="Z172" i="2"/>
  <c r="Y134" i="2"/>
  <c r="Z134" i="2" s="1"/>
  <c r="Y118" i="2"/>
  <c r="Z118" i="2"/>
  <c r="Y129" i="2"/>
  <c r="Z129" i="2" s="1"/>
  <c r="Y74" i="2"/>
  <c r="Z74" i="2"/>
  <c r="Y66" i="2"/>
  <c r="Z66" i="2" s="1"/>
  <c r="Y9" i="2"/>
  <c r="Z9" i="2"/>
  <c r="Y62" i="2"/>
  <c r="Z62" i="2" s="1"/>
  <c r="Y49" i="2"/>
  <c r="Z49" i="2"/>
  <c r="Y25" i="2"/>
  <c r="Z25" i="2" s="1"/>
  <c r="Y444" i="2"/>
  <c r="Z444" i="2"/>
  <c r="Y436" i="2"/>
  <c r="Z436" i="2" s="1"/>
  <c r="Y418" i="2"/>
  <c r="Z418" i="2"/>
  <c r="Y432" i="2"/>
  <c r="Z432" i="2" s="1"/>
  <c r="Y413" i="2"/>
  <c r="Z413" i="2"/>
  <c r="Y445" i="2"/>
  <c r="Z445" i="2" s="1"/>
  <c r="Y400" i="2"/>
  <c r="Z400" i="2"/>
  <c r="Y404" i="2"/>
  <c r="Z404" i="2" s="1"/>
  <c r="Y397" i="2"/>
  <c r="Z397" i="2"/>
  <c r="Y384" i="2"/>
  <c r="Z384" i="2" s="1"/>
  <c r="Y401" i="2"/>
  <c r="Z401" i="2"/>
  <c r="Y382" i="2"/>
  <c r="Z382" i="2" s="1"/>
  <c r="Y322" i="2"/>
  <c r="Z322" i="2"/>
  <c r="Y307" i="2"/>
  <c r="Z307" i="2" s="1"/>
  <c r="Y294" i="2"/>
  <c r="Z294" i="2"/>
  <c r="Y309" i="2"/>
  <c r="Z309" i="2" s="1"/>
  <c r="Y310" i="2"/>
  <c r="Z310" i="2"/>
  <c r="Y289" i="2"/>
  <c r="Z289" i="2" s="1"/>
  <c r="Y214" i="2"/>
  <c r="Z214" i="2"/>
  <c r="Y199" i="2"/>
  <c r="Z199" i="2" s="1"/>
  <c r="Y187" i="2"/>
  <c r="Z187" i="2"/>
  <c r="Y283" i="2"/>
  <c r="Z283" i="2" s="1"/>
  <c r="Y270" i="2"/>
  <c r="Z270" i="2"/>
  <c r="Y189" i="2"/>
  <c r="Z189" i="2" s="1"/>
  <c r="Y171" i="2"/>
  <c r="Z171" i="2"/>
  <c r="Y198" i="2"/>
  <c r="Z198" i="2" s="1"/>
  <c r="Y139" i="2"/>
  <c r="Z139" i="2"/>
  <c r="Y127" i="2"/>
  <c r="Z127" i="2" s="1"/>
  <c r="Y107" i="2"/>
  <c r="Z107" i="2"/>
  <c r="Y102" i="2"/>
  <c r="Z102" i="2" s="1"/>
  <c r="Y175" i="2"/>
  <c r="Z175" i="2"/>
  <c r="Y157" i="2"/>
  <c r="Z157" i="2" s="1"/>
  <c r="Y137" i="2"/>
  <c r="Z137" i="2"/>
  <c r="Y85" i="2"/>
  <c r="Z85" i="2" s="1"/>
  <c r="Y77" i="2"/>
  <c r="Z77" i="2"/>
  <c r="Y63" i="2"/>
  <c r="Z63" i="2" s="1"/>
  <c r="Y15" i="2"/>
  <c r="Z15" i="2"/>
  <c r="Y113" i="2"/>
  <c r="Z113" i="2" s="1"/>
  <c r="Y91" i="2"/>
  <c r="Z91" i="2"/>
  <c r="Y65" i="2"/>
  <c r="Z65" i="2" s="1"/>
  <c r="Y38" i="2"/>
  <c r="Z38" i="2"/>
  <c r="Y57" i="2"/>
  <c r="Z57" i="2" s="1"/>
  <c r="Y45" i="2"/>
  <c r="Z45" i="2"/>
  <c r="Y425" i="2"/>
  <c r="Z425" i="2" s="1"/>
  <c r="Y437" i="2"/>
  <c r="Z437" i="2"/>
  <c r="Y438" i="2"/>
  <c r="Z438" i="2" s="1"/>
  <c r="Y419" i="2"/>
  <c r="Z419" i="2"/>
  <c r="Y381" i="2"/>
  <c r="Z381" i="2" s="1"/>
  <c r="Y380" i="2"/>
  <c r="Z380" i="2"/>
  <c r="Y392" i="2"/>
  <c r="Z392" i="2" s="1"/>
  <c r="Y337" i="2"/>
  <c r="Z337" i="2"/>
  <c r="Y321" i="2"/>
  <c r="Z321" i="2" s="1"/>
  <c r="Y288" i="2"/>
  <c r="Z288" i="2"/>
  <c r="Y279" i="2"/>
  <c r="Z279" i="2" s="1"/>
  <c r="Y278" i="2"/>
  <c r="Z278" i="2"/>
  <c r="Y280" i="2"/>
  <c r="Z280" i="2" s="1"/>
  <c r="Y213" i="2"/>
  <c r="Z213" i="2"/>
  <c r="Y205" i="2"/>
  <c r="Z205" i="2" s="1"/>
  <c r="Y170" i="2"/>
  <c r="Z170" i="2"/>
  <c r="Y164" i="2"/>
  <c r="Z164" i="2" s="1"/>
  <c r="Y201" i="2"/>
  <c r="Z201" i="2"/>
  <c r="Y179" i="2"/>
  <c r="Z179" i="2" s="1"/>
  <c r="Y150" i="2"/>
  <c r="Z150" i="2"/>
  <c r="Y110" i="2"/>
  <c r="Z110" i="2" s="1"/>
  <c r="Y97" i="2"/>
  <c r="Z97" i="2"/>
  <c r="Y87" i="2"/>
  <c r="Z87" i="2" s="1"/>
  <c r="Y153" i="2"/>
  <c r="Z153" i="2"/>
  <c r="Y138" i="2"/>
  <c r="Z138" i="2" s="1"/>
  <c r="Y121" i="2"/>
  <c r="Z121" i="2"/>
  <c r="Y83" i="2"/>
  <c r="Z83" i="2" s="1"/>
  <c r="Y75" i="2"/>
  <c r="Z75" i="2"/>
  <c r="Y43" i="2"/>
  <c r="Z43" i="2" s="1"/>
  <c r="Y130" i="2"/>
  <c r="Z130" i="2"/>
  <c r="Y114" i="2"/>
  <c r="Z114" i="2" s="1"/>
  <c r="Y82" i="2"/>
  <c r="Z82" i="2"/>
  <c r="Y37" i="2"/>
  <c r="Z37" i="2" s="1"/>
  <c r="Y72" i="2"/>
  <c r="Z72" i="2"/>
  <c r="Y69" i="2"/>
  <c r="Z69" i="2" s="1"/>
  <c r="Y50" i="2"/>
  <c r="Z50" i="2"/>
  <c r="Y34" i="2"/>
  <c r="Z34" i="2" s="1"/>
  <c r="Y26" i="2"/>
  <c r="Z26" i="2"/>
  <c r="Y78" i="2"/>
  <c r="Z78" i="2" s="1"/>
  <c r="Y41" i="2"/>
  <c r="Z41" i="2"/>
  <c r="Y13" i="2"/>
  <c r="Z13" i="2" s="1"/>
  <c r="Y430" i="2"/>
  <c r="Z430" i="2"/>
  <c r="Y440" i="2"/>
  <c r="Z440" i="2" s="1"/>
  <c r="Y416" i="2"/>
  <c r="Z416" i="2"/>
  <c r="Y365" i="2"/>
  <c r="Z365" i="2" s="1"/>
  <c r="Y389" i="2"/>
  <c r="Z389" i="2"/>
  <c r="Y363" i="2"/>
  <c r="Z363" i="2" s="1"/>
  <c r="Y331" i="2"/>
  <c r="Z331" i="2"/>
  <c r="Y328" i="2"/>
  <c r="Z328" i="2" s="1"/>
  <c r="Y353" i="2"/>
  <c r="Z353" i="2"/>
  <c r="P412" i="2"/>
  <c r="Q412" i="2"/>
  <c r="P379" i="2"/>
  <c r="Q379" i="2"/>
  <c r="P371" i="2"/>
  <c r="Q371" i="2"/>
  <c r="P346" i="2"/>
  <c r="Q346" i="2"/>
  <c r="P204" i="2"/>
  <c r="Q204" i="2"/>
  <c r="P162" i="2"/>
  <c r="Q162" i="2"/>
  <c r="Q128" i="2"/>
  <c r="P128" i="2"/>
  <c r="Q112" i="2"/>
  <c r="P112" i="2"/>
  <c r="Y86" i="2"/>
  <c r="Z86" i="2"/>
  <c r="P44" i="2"/>
  <c r="Q44" i="2"/>
  <c r="P29" i="2"/>
  <c r="Q29" i="2"/>
  <c r="Y92" i="2"/>
  <c r="Z92" i="2"/>
  <c r="Y383" i="2"/>
  <c r="Z383" i="2"/>
  <c r="Y422" i="2"/>
  <c r="Z422" i="2" s="1"/>
  <c r="Y368" i="2"/>
  <c r="Z368" i="2"/>
  <c r="P366" i="2"/>
  <c r="U366" i="2" s="1"/>
  <c r="V366" i="2" s="1"/>
  <c r="Q366" i="2"/>
  <c r="Y361" i="2"/>
  <c r="Z361" i="2" s="1"/>
  <c r="P350" i="2"/>
  <c r="U350" i="2"/>
  <c r="V350" i="2"/>
  <c r="Q350" i="2"/>
  <c r="Y345" i="2"/>
  <c r="Z345" i="2"/>
  <c r="Y388" i="2"/>
  <c r="Z388" i="2" s="1"/>
  <c r="P369" i="2"/>
  <c r="Q369" i="2"/>
  <c r="Y351" i="2"/>
  <c r="Z351" i="2" s="1"/>
  <c r="Y347" i="2"/>
  <c r="Z347" i="2"/>
  <c r="Y335" i="2"/>
  <c r="Z335" i="2" s="1"/>
  <c r="Y327" i="2"/>
  <c r="Z327" i="2"/>
  <c r="Y292" i="2"/>
  <c r="Z292" i="2" s="1"/>
  <c r="Y287" i="2"/>
  <c r="Z287" i="2"/>
  <c r="Y323" i="2"/>
  <c r="Z323" i="2" s="1"/>
  <c r="Y290" i="2"/>
  <c r="Z290" i="2"/>
  <c r="Y311" i="2"/>
  <c r="Z311" i="2" s="1"/>
  <c r="Q235" i="2"/>
  <c r="P235" i="2"/>
  <c r="Q227" i="2"/>
  <c r="P227" i="2"/>
  <c r="P192" i="2"/>
  <c r="Q258" i="2"/>
  <c r="P258" i="2"/>
  <c r="Y165" i="2"/>
  <c r="Z165" i="2" s="1"/>
  <c r="Y193" i="2"/>
  <c r="Z193" i="2"/>
  <c r="Q116" i="2"/>
  <c r="Y177" i="2"/>
  <c r="Z177" i="2"/>
  <c r="Y148" i="2"/>
  <c r="Z148" i="2" s="1"/>
  <c r="Y158" i="2"/>
  <c r="Z158" i="2"/>
  <c r="Y133" i="2"/>
  <c r="Z133" i="2" s="1"/>
  <c r="P68" i="2"/>
  <c r="Q68" i="2"/>
  <c r="P24" i="2"/>
  <c r="Q24" i="2"/>
  <c r="Y154" i="2"/>
  <c r="Z154" i="2"/>
  <c r="Y100" i="2"/>
  <c r="Z100" i="2" s="1"/>
  <c r="Y71" i="2"/>
  <c r="Z71" i="2"/>
  <c r="P405" i="2"/>
  <c r="Y428" i="2"/>
  <c r="Z428" i="2" s="1"/>
  <c r="Y429" i="2"/>
  <c r="Z429" i="2"/>
  <c r="Y372" i="2"/>
  <c r="Z372" i="2" s="1"/>
  <c r="P354" i="2"/>
  <c r="Y370" i="2"/>
  <c r="Z370" i="2" s="1"/>
  <c r="Y367" i="2"/>
  <c r="Z367" i="2"/>
  <c r="Y348" i="2"/>
  <c r="Z348" i="2" s="1"/>
  <c r="P339" i="2"/>
  <c r="Q339" i="2"/>
  <c r="Y316" i="2"/>
  <c r="Z316" i="2" s="1"/>
  <c r="Y296" i="2"/>
  <c r="Z296" i="2"/>
  <c r="Y291" i="2"/>
  <c r="Z291" i="2" s="1"/>
  <c r="Y306" i="2"/>
  <c r="Z306" i="2"/>
  <c r="P269" i="2"/>
  <c r="Q269" i="2"/>
  <c r="P262" i="2"/>
  <c r="U262" i="2"/>
  <c r="V262" i="2"/>
  <c r="Q262" i="2"/>
  <c r="Y324" i="2"/>
  <c r="Z324" i="2"/>
  <c r="Y315" i="2"/>
  <c r="Z315" i="2" s="1"/>
  <c r="Y302" i="2"/>
  <c r="Z302" i="2"/>
  <c r="Q300" i="2"/>
  <c r="P300" i="2"/>
  <c r="V293" i="2"/>
  <c r="Y293" i="2"/>
  <c r="Z293" i="2"/>
  <c r="Y264" i="2"/>
  <c r="Z264" i="2" s="1"/>
  <c r="P242" i="2"/>
  <c r="U242" i="2"/>
  <c r="V242" i="2" s="1"/>
  <c r="Q242" i="2"/>
  <c r="P234" i="2"/>
  <c r="P226" i="2"/>
  <c r="U226" i="2" s="1"/>
  <c r="V226" i="2" s="1"/>
  <c r="Q226" i="2"/>
  <c r="Y207" i="2"/>
  <c r="Z207" i="2" s="1"/>
  <c r="P196" i="2"/>
  <c r="Q196" i="2"/>
  <c r="Y191" i="2"/>
  <c r="Z191" i="2" s="1"/>
  <c r="Y274" i="2"/>
  <c r="Z274" i="2"/>
  <c r="Y186" i="2"/>
  <c r="Z186" i="2" s="1"/>
  <c r="Y206" i="2"/>
  <c r="Z206" i="2"/>
  <c r="Q174" i="2"/>
  <c r="P174" i="2"/>
  <c r="Y182" i="2"/>
  <c r="Z182" i="2"/>
  <c r="Y208" i="2"/>
  <c r="Z208" i="2" s="1"/>
  <c r="P180" i="2"/>
  <c r="U180" i="2"/>
  <c r="V180" i="2" s="1"/>
  <c r="P166" i="2"/>
  <c r="Q166" i="2"/>
  <c r="Q136" i="2"/>
  <c r="P136" i="2"/>
  <c r="U136" i="2" s="1"/>
  <c r="V136" i="2" s="1"/>
  <c r="Y131" i="2"/>
  <c r="Z131" i="2" s="1"/>
  <c r="Q120" i="2"/>
  <c r="P120" i="2"/>
  <c r="Y115" i="2"/>
  <c r="Z115" i="2" s="1"/>
  <c r="Q104" i="2"/>
  <c r="P104" i="2"/>
  <c r="Y209" i="2"/>
  <c r="Z209" i="2" s="1"/>
  <c r="Y126" i="2"/>
  <c r="Z126" i="2"/>
  <c r="Y105" i="2"/>
  <c r="Z105" i="2" s="1"/>
  <c r="Y95" i="2"/>
  <c r="Z95" i="2"/>
  <c r="Y106" i="2"/>
  <c r="Z106" i="2" s="1"/>
  <c r="Y67" i="2"/>
  <c r="Z67" i="2"/>
  <c r="Y47" i="2"/>
  <c r="Z47" i="2" s="1"/>
  <c r="Y31" i="2"/>
  <c r="Z31" i="2"/>
  <c r="Y23" i="2"/>
  <c r="Z23" i="2" s="1"/>
  <c r="P12" i="2"/>
  <c r="Y7" i="2"/>
  <c r="Z7" i="2" s="1"/>
  <c r="Y145" i="2"/>
  <c r="Z145" i="2" s="1"/>
  <c r="Y155" i="2"/>
  <c r="Z155" i="2" s="1"/>
  <c r="Y101" i="2"/>
  <c r="Z101" i="2"/>
  <c r="Y90" i="2"/>
  <c r="Z90" i="2" s="1"/>
  <c r="Y70" i="2"/>
  <c r="Z70" i="2"/>
  <c r="Y61" i="2"/>
  <c r="Z61" i="2" s="1"/>
  <c r="Y33" i="2"/>
  <c r="Z33" i="2"/>
  <c r="Y21" i="2"/>
  <c r="Z21" i="2" s="1"/>
  <c r="Y55" i="2"/>
  <c r="Z55" i="2"/>
  <c r="Y17" i="2"/>
  <c r="Z17" i="2" s="1"/>
  <c r="Y76" i="2"/>
  <c r="Z76" i="2"/>
  <c r="Y30" i="2"/>
  <c r="Z30" i="2" s="1"/>
  <c r="Y14" i="2"/>
  <c r="Z14" i="2"/>
  <c r="V423" i="2"/>
  <c r="Y423" i="2"/>
  <c r="Z423" i="2" s="1"/>
  <c r="Y415" i="2"/>
  <c r="Z415" i="2"/>
  <c r="Y409" i="2"/>
  <c r="Z409" i="2" s="1"/>
  <c r="Y387" i="2"/>
  <c r="Z387" i="2"/>
  <c r="Y349" i="2"/>
  <c r="Z349" i="2" s="1"/>
  <c r="Y344" i="2"/>
  <c r="Z344" i="2" s="1"/>
  <c r="Y352" i="2"/>
  <c r="Z352" i="2" s="1"/>
  <c r="Y330" i="2"/>
  <c r="Z330" i="2" s="1"/>
  <c r="Y359" i="2"/>
  <c r="Z359" i="2" s="1"/>
  <c r="Y334" i="2"/>
  <c r="Z334" i="2"/>
  <c r="Q403" i="2"/>
  <c r="P403" i="2"/>
  <c r="P377" i="2"/>
  <c r="Q377" i="2"/>
  <c r="P343" i="2"/>
  <c r="Q343" i="2"/>
  <c r="P338" i="2"/>
  <c r="Q338" i="2"/>
  <c r="Y308" i="2"/>
  <c r="Z308" i="2" s="1"/>
  <c r="P273" i="2"/>
  <c r="U273" i="2"/>
  <c r="V273" i="2"/>
  <c r="Q273" i="2"/>
  <c r="Y268" i="2"/>
  <c r="Z268" i="2"/>
  <c r="Y261" i="2"/>
  <c r="Z261" i="2" s="1"/>
  <c r="Y297" i="2"/>
  <c r="Z297" i="2" s="1"/>
  <c r="Y281" i="2"/>
  <c r="Z281" i="2" s="1"/>
  <c r="Q239" i="2"/>
  <c r="P239" i="2"/>
  <c r="Q231" i="2"/>
  <c r="P231" i="2"/>
  <c r="Y216" i="2"/>
  <c r="Z216" i="2" s="1"/>
  <c r="P211" i="2"/>
  <c r="Q211" i="2"/>
  <c r="P200" i="2"/>
  <c r="U200" i="2" s="1"/>
  <c r="V200" i="2" s="1"/>
  <c r="Q200" i="2"/>
  <c r="Y195" i="2"/>
  <c r="Z195" i="2"/>
  <c r="V185" i="2"/>
  <c r="Y185" i="2"/>
  <c r="Z185" i="2"/>
  <c r="P173" i="2"/>
  <c r="Q173" i="2"/>
  <c r="P176" i="2"/>
  <c r="Q176" i="2"/>
  <c r="Q163" i="2"/>
  <c r="P163" i="2"/>
  <c r="Y147" i="2"/>
  <c r="Z147" i="2"/>
  <c r="Q140" i="2"/>
  <c r="U140" i="2" s="1"/>
  <c r="V140" i="2" s="1"/>
  <c r="P140" i="2"/>
  <c r="Y135" i="2"/>
  <c r="Z135" i="2"/>
  <c r="Q124" i="2"/>
  <c r="P124" i="2"/>
  <c r="Y119" i="2"/>
  <c r="Z119" i="2"/>
  <c r="Q108" i="2"/>
  <c r="P108" i="2"/>
  <c r="Y103" i="2"/>
  <c r="Z103" i="2"/>
  <c r="Y98" i="2"/>
  <c r="Z98" i="2"/>
  <c r="Y93" i="2"/>
  <c r="Z93" i="2"/>
  <c r="Y53" i="2"/>
  <c r="Z53" i="2"/>
  <c r="Y51" i="2"/>
  <c r="Z51" i="2"/>
  <c r="Y35" i="2"/>
  <c r="Z35" i="2"/>
  <c r="Y27" i="2"/>
  <c r="Z27" i="2"/>
  <c r="Y11" i="2"/>
  <c r="Z11" i="2"/>
  <c r="U112" i="2"/>
  <c r="V112" i="2"/>
  <c r="Y89" i="2"/>
  <c r="Z89" i="2"/>
  <c r="Y79" i="2"/>
  <c r="Z79" i="2"/>
  <c r="Y298" i="2"/>
  <c r="Z298" i="2"/>
  <c r="Y405" i="2"/>
  <c r="Z405" i="2" s="1"/>
  <c r="Y395" i="2"/>
  <c r="Z395" i="2"/>
  <c r="Y132" i="2"/>
  <c r="Z132" i="2" s="1"/>
  <c r="Y181" i="2"/>
  <c r="Z181" i="2"/>
  <c r="U379" i="2"/>
  <c r="V379" i="2" s="1"/>
  <c r="Y178" i="2"/>
  <c r="Z178" i="2"/>
  <c r="Y140" i="2"/>
  <c r="Z140" i="2" s="1"/>
  <c r="Y163" i="2"/>
  <c r="Z163" i="2"/>
  <c r="U166" i="2"/>
  <c r="V166" i="2" s="1"/>
  <c r="Y196" i="2"/>
  <c r="Z196" i="2"/>
  <c r="Y262" i="2"/>
  <c r="Z262" i="2" s="1"/>
  <c r="Y174" i="2"/>
  <c r="Z174" i="2"/>
  <c r="Y300" i="2"/>
  <c r="Z300" i="2" s="1"/>
  <c r="U94" i="2"/>
  <c r="V94" i="2"/>
  <c r="Y94" i="2"/>
  <c r="Z94" i="2" s="1"/>
  <c r="Y176" i="2"/>
  <c r="Z176" i="2"/>
  <c r="Y273" i="2"/>
  <c r="Z273" i="2" s="1"/>
  <c r="Y269" i="2"/>
  <c r="Z269" i="2"/>
  <c r="Y60" i="2"/>
  <c r="Z60" i="2" s="1"/>
  <c r="Y375" i="2"/>
  <c r="Z375" i="2"/>
  <c r="Y12" i="2"/>
  <c r="Z12" i="2" s="1"/>
  <c r="Y169" i="2"/>
  <c r="Z169" i="2"/>
  <c r="Y8" i="2"/>
  <c r="Z8" i="2" s="1"/>
  <c r="Y192" i="2"/>
  <c r="Z192" i="2"/>
  <c r="Y265" i="2"/>
  <c r="Z265" i="2" s="1"/>
  <c r="Y412" i="2"/>
  <c r="Z412" i="2"/>
  <c r="Y338" i="2"/>
  <c r="Z338" i="2" s="1"/>
  <c r="Y54" i="2"/>
  <c r="Z54" i="2"/>
  <c r="Y108" i="2"/>
  <c r="Z108" i="2" s="1"/>
  <c r="Y211" i="2"/>
  <c r="Z211" i="2"/>
  <c r="Y403" i="2"/>
  <c r="Z403" i="2" s="1"/>
  <c r="Y385" i="2"/>
  <c r="Z385" i="2"/>
  <c r="Y29" i="2"/>
  <c r="Z29" i="2" s="1"/>
  <c r="Y48" i="2"/>
  <c r="Z48" i="2"/>
  <c r="Y99" i="2"/>
  <c r="Z99" i="2" s="1"/>
  <c r="Y166" i="2"/>
  <c r="Z166" i="2"/>
  <c r="Y354" i="2"/>
  <c r="Z354" i="2" s="1"/>
  <c r="Y116" i="2"/>
  <c r="Z116" i="2"/>
  <c r="Y173" i="2"/>
  <c r="Z173" i="2" s="1"/>
  <c r="Y200" i="2"/>
  <c r="Z200" i="2"/>
  <c r="Y358" i="2"/>
  <c r="Z358" i="2" s="1"/>
  <c r="Y36" i="2"/>
  <c r="Z36" i="2"/>
  <c r="Y104" i="2"/>
  <c r="Z104" i="2" s="1"/>
  <c r="Y136" i="2"/>
  <c r="Z136" i="2"/>
  <c r="Y350" i="2"/>
  <c r="Z350" i="2" s="1"/>
  <c r="Y120" i="2"/>
  <c r="Z120" i="2"/>
  <c r="Y16" i="2"/>
  <c r="Z16" i="2" s="1"/>
  <c r="Y24" i="2"/>
  <c r="Z24" i="2"/>
  <c r="Y68" i="2"/>
  <c r="Z68" i="2" s="1"/>
  <c r="Y180" i="2"/>
  <c r="Z180" i="2"/>
  <c r="Y377" i="2"/>
  <c r="Z377" i="2" s="1"/>
  <c r="Y339" i="2"/>
  <c r="Z339" i="2"/>
  <c r="Y128" i="2"/>
  <c r="Z128" i="2" s="1"/>
  <c r="Y20" i="2"/>
  <c r="Z20" i="2"/>
  <c r="Y215" i="2"/>
  <c r="Z215" i="2" s="1"/>
  <c r="Y366" i="2"/>
  <c r="Z366" i="2"/>
  <c r="Y44" i="2"/>
  <c r="Z44" i="2" s="1"/>
  <c r="Y204" i="2"/>
  <c r="Z204" i="2"/>
  <c r="Y342" i="2"/>
  <c r="Z342" i="2" s="1"/>
  <c r="Y373" i="2"/>
  <c r="Z373" i="2"/>
  <c r="Y362" i="2"/>
  <c r="Z362" i="2" s="1"/>
  <c r="Y379" i="2"/>
  <c r="Z379" i="2"/>
  <c r="Y414" i="2"/>
  <c r="Z414" i="2" s="1"/>
  <c r="Y40" i="2"/>
  <c r="Z40" i="2"/>
  <c r="Y112" i="2"/>
  <c r="Z112" i="2" s="1"/>
  <c r="Y32" i="2"/>
  <c r="Z32" i="2"/>
  <c r="Y124" i="2"/>
  <c r="Z124" i="2" s="1"/>
  <c r="Y369" i="2"/>
  <c r="Z369" i="2"/>
  <c r="U162" i="2"/>
  <c r="V162" i="2" s="1"/>
  <c r="Y346" i="2"/>
  <c r="Z346" i="2"/>
  <c r="Y96" i="2"/>
  <c r="Z96" i="2" s="1"/>
  <c r="Y277" i="2"/>
  <c r="Z277" i="2"/>
  <c r="Y64" i="2"/>
  <c r="Z64" i="2" s="1"/>
  <c r="Y442" i="2"/>
  <c r="Z442" i="2"/>
  <c r="Y88" i="2"/>
  <c r="Z88" i="2" s="1"/>
  <c r="Y343" i="2"/>
  <c r="Z343" i="2"/>
  <c r="Y162" i="2"/>
  <c r="Z162" i="2" s="1"/>
  <c r="Y188" i="2"/>
  <c r="Z188" i="2"/>
  <c r="Y371" i="2"/>
  <c r="Z371" i="2" s="1"/>
  <c r="O241" i="2"/>
  <c r="P241" i="2"/>
  <c r="O217" i="2"/>
  <c r="Q217" i="2" s="1"/>
  <c r="O233" i="2"/>
  <c r="O245" i="2"/>
  <c r="O249" i="2"/>
  <c r="O251" i="2"/>
  <c r="O257" i="2"/>
  <c r="U337" i="2"/>
  <c r="V337" i="2"/>
  <c r="O9" i="2"/>
  <c r="P9" i="2" s="1"/>
  <c r="O13" i="2"/>
  <c r="O17" i="2"/>
  <c r="P17" i="2"/>
  <c r="O21" i="2"/>
  <c r="O33" i="2"/>
  <c r="O37" i="2"/>
  <c r="O45" i="2"/>
  <c r="P45" i="2" s="1"/>
  <c r="O49" i="2"/>
  <c r="Q49" i="2" s="1"/>
  <c r="U289" i="2"/>
  <c r="V289" i="2" s="1"/>
  <c r="O225" i="2"/>
  <c r="P225" i="2" s="1"/>
  <c r="O410" i="2"/>
  <c r="O411" i="2"/>
  <c r="Q411" i="2" s="1"/>
  <c r="O413" i="2"/>
  <c r="P413" i="2" s="1"/>
  <c r="U413" i="2" s="1"/>
  <c r="V413" i="2" s="1"/>
  <c r="O417" i="2"/>
  <c r="Q417" i="2" s="1"/>
  <c r="O418" i="2"/>
  <c r="P418" i="2"/>
  <c r="O419" i="2"/>
  <c r="U269" i="2"/>
  <c r="V269" i="2" s="1"/>
  <c r="U364" i="2"/>
  <c r="V364" i="2" s="1"/>
  <c r="U305" i="2"/>
  <c r="V305" i="2" s="1"/>
  <c r="U176" i="2"/>
  <c r="V176" i="2" s="1"/>
  <c r="U287" i="2"/>
  <c r="V287" i="2" s="1"/>
  <c r="P86" i="2"/>
  <c r="U86" i="2" s="1"/>
  <c r="V86" i="2" s="1"/>
  <c r="Q41" i="2"/>
  <c r="P41" i="2"/>
  <c r="Q89" i="2"/>
  <c r="P89" i="2"/>
  <c r="U142" i="2"/>
  <c r="V142" i="2" s="1"/>
  <c r="Q25" i="2"/>
  <c r="U25" i="2"/>
  <c r="V25" i="2" s="1"/>
  <c r="U317" i="2"/>
  <c r="V317" i="2" s="1"/>
  <c r="P195" i="2"/>
  <c r="U195" i="2" s="1"/>
  <c r="V195" i="2" s="1"/>
  <c r="P182" i="2"/>
  <c r="U182" i="2"/>
  <c r="V182" i="2" s="1"/>
  <c r="Q81" i="2"/>
  <c r="U81" i="2" s="1"/>
  <c r="V81" i="2" s="1"/>
  <c r="P93" i="2"/>
  <c r="U93" i="2" s="1"/>
  <c r="V93" i="2" s="1"/>
  <c r="O52" i="2"/>
  <c r="Q52" i="2" s="1"/>
  <c r="O224" i="2"/>
  <c r="Q224" i="2" s="1"/>
  <c r="O232" i="2"/>
  <c r="P232" i="2" s="1"/>
  <c r="O240" i="2"/>
  <c r="Q240" i="2" s="1"/>
  <c r="U240" i="2" s="1"/>
  <c r="V240" i="2" s="1"/>
  <c r="O248" i="2"/>
  <c r="Q248" i="2" s="1"/>
  <c r="O220" i="2"/>
  <c r="O228" i="2"/>
  <c r="Q228" i="2"/>
  <c r="O236" i="2"/>
  <c r="O244" i="2"/>
  <c r="Q244" i="2" s="1"/>
  <c r="O252" i="2"/>
  <c r="P252" i="2" s="1"/>
  <c r="O260" i="2"/>
  <c r="P260" i="2" s="1"/>
  <c r="U260" i="2" s="1"/>
  <c r="V260" i="2" s="1"/>
  <c r="O59" i="2"/>
  <c r="P59" i="2" s="1"/>
  <c r="O223" i="2"/>
  <c r="Q223" i="2" s="1"/>
  <c r="O247" i="2"/>
  <c r="O253" i="2"/>
  <c r="Q409" i="2"/>
  <c r="U409" i="2" s="1"/>
  <c r="Q232" i="2"/>
  <c r="U339" i="2"/>
  <c r="V339" i="2" s="1"/>
  <c r="O218" i="2"/>
  <c r="Q218" i="2"/>
  <c r="O222" i="2"/>
  <c r="P222" i="2" s="1"/>
  <c r="O230" i="2"/>
  <c r="P230" i="2"/>
  <c r="O238" i="2"/>
  <c r="P238" i="2" s="1"/>
  <c r="O250" i="2"/>
  <c r="Q250" i="2"/>
  <c r="O255" i="2"/>
  <c r="P255" i="2" s="1"/>
  <c r="U255" i="2" s="1"/>
  <c r="V255" i="2" s="1"/>
  <c r="O259" i="2"/>
  <c r="O322" i="2"/>
  <c r="O374" i="2"/>
  <c r="P374" i="2" s="1"/>
  <c r="O378" i="2"/>
  <c r="Q378" i="2"/>
  <c r="U393" i="2"/>
  <c r="V393" i="2" s="1"/>
  <c r="U390" i="2"/>
  <c r="V390" i="2"/>
  <c r="U186" i="2"/>
  <c r="V186" i="2" s="1"/>
  <c r="U372" i="2"/>
  <c r="V372" i="2"/>
  <c r="Q340" i="2"/>
  <c r="O286" i="2"/>
  <c r="Q286" i="2" s="1"/>
  <c r="O446" i="2"/>
  <c r="P446" i="2" s="1"/>
  <c r="Q446" i="2"/>
  <c r="U301" i="2"/>
  <c r="V301" i="2" s="1"/>
  <c r="O67" i="2"/>
  <c r="Q67" i="2" s="1"/>
  <c r="O370" i="2"/>
  <c r="P370" i="2" s="1"/>
  <c r="U340" i="2"/>
  <c r="V340" i="2" s="1"/>
  <c r="U134" i="2"/>
  <c r="V134" i="2" s="1"/>
  <c r="O30" i="2"/>
  <c r="Q30" i="2" s="1"/>
  <c r="O53" i="2"/>
  <c r="P53" i="2" s="1"/>
  <c r="U53" i="2" s="1"/>
  <c r="V53" i="2" s="1"/>
  <c r="O396" i="2"/>
  <c r="P396" i="2" s="1"/>
  <c r="Q418" i="2"/>
  <c r="P21" i="2"/>
  <c r="Q251" i="2"/>
  <c r="P251" i="2"/>
  <c r="P217" i="2"/>
  <c r="U217" i="2" s="1"/>
  <c r="V217" i="2" s="1"/>
  <c r="Q17" i="2"/>
  <c r="Q249" i="2"/>
  <c r="Q413" i="2"/>
  <c r="Q37" i="2"/>
  <c r="P245" i="2"/>
  <c r="U245" i="2" s="1"/>
  <c r="V245" i="2" s="1"/>
  <c r="Q245" i="2"/>
  <c r="P411" i="2"/>
  <c r="P33" i="2"/>
  <c r="Q33" i="2"/>
  <c r="Q9" i="2"/>
  <c r="Q247" i="2"/>
  <c r="P247" i="2"/>
  <c r="U247" i="2" s="1"/>
  <c r="Q260" i="2"/>
  <c r="P223" i="2"/>
  <c r="Q252" i="2"/>
  <c r="Q220" i="2"/>
  <c r="U220" i="2" s="1"/>
  <c r="V220" i="2" s="1"/>
  <c r="P220" i="2"/>
  <c r="P286" i="2"/>
  <c r="Q238" i="2"/>
  <c r="P259" i="2"/>
  <c r="Q259" i="2"/>
  <c r="P378" i="2"/>
  <c r="U378" i="2" s="1"/>
  <c r="V378" i="2" s="1"/>
  <c r="Q374" i="2"/>
  <c r="Q396" i="2"/>
  <c r="Q45" i="2"/>
  <c r="Q373" i="2"/>
  <c r="P373" i="2"/>
  <c r="U373" i="2" s="1"/>
  <c r="V373" i="2" s="1"/>
  <c r="P414" i="2"/>
  <c r="Q414" i="2"/>
  <c r="P169" i="2"/>
  <c r="U169" i="2"/>
  <c r="V169" i="2" s="1"/>
  <c r="Q201" i="2"/>
  <c r="P201" i="2"/>
  <c r="U201" i="2"/>
  <c r="V201" i="2" s="1"/>
  <c r="Q388" i="2"/>
  <c r="P388" i="2"/>
  <c r="U388" i="2"/>
  <c r="V388" i="2" s="1"/>
  <c r="Q171" i="2"/>
  <c r="P171" i="2"/>
  <c r="U171" i="2" s="1"/>
  <c r="V171" i="2" s="1"/>
  <c r="Q101" i="2"/>
  <c r="P101" i="2"/>
  <c r="U101" i="2"/>
  <c r="V101" i="2" s="1"/>
  <c r="Q420" i="2"/>
  <c r="P420" i="2"/>
  <c r="U420" i="2"/>
  <c r="V420" i="2" s="1"/>
  <c r="Q187" i="2"/>
  <c r="U187" i="2" s="1"/>
  <c r="V187" i="2" s="1"/>
  <c r="Q197" i="2"/>
  <c r="P197" i="2"/>
  <c r="U197" i="2" s="1"/>
  <c r="V197" i="2" s="1"/>
  <c r="P432" i="2"/>
  <c r="U432" i="2" s="1"/>
  <c r="V432" i="2" s="1"/>
  <c r="Q432" i="2"/>
  <c r="Q422" i="2"/>
  <c r="U422" i="2" s="1"/>
  <c r="V422" i="2" s="1"/>
  <c r="Q304" i="2"/>
  <c r="P304" i="2"/>
  <c r="U304" i="2" s="1"/>
  <c r="V304" i="2" s="1"/>
  <c r="P421" i="2"/>
  <c r="U421" i="2" s="1"/>
  <c r="V421" i="2" s="1"/>
  <c r="Q421" i="2"/>
  <c r="P8" i="2"/>
  <c r="Q8" i="2"/>
  <c r="Q333" i="2"/>
  <c r="P333" i="2"/>
  <c r="U333" i="2"/>
  <c r="V333" i="2" s="1"/>
  <c r="Q405" i="2"/>
  <c r="U405" i="2" s="1"/>
  <c r="Q375" i="2"/>
  <c r="P375" i="2"/>
  <c r="U375" i="2" s="1"/>
  <c r="V375" i="2" s="1"/>
  <c r="Q354" i="2"/>
  <c r="U354" i="2" s="1"/>
  <c r="V354" i="2" s="1"/>
  <c r="Q132" i="2"/>
  <c r="P132" i="2"/>
  <c r="U132" i="2" s="1"/>
  <c r="V132" i="2" s="1"/>
  <c r="P99" i="2"/>
  <c r="U99" i="2" s="1"/>
  <c r="V99" i="2" s="1"/>
  <c r="Q99" i="2"/>
  <c r="Q32" i="2"/>
  <c r="U32" i="2" s="1"/>
  <c r="V32" i="2" s="1"/>
  <c r="Q20" i="2"/>
  <c r="P20" i="2"/>
  <c r="U20" i="2" s="1"/>
  <c r="V20" i="2" s="1"/>
  <c r="Q404" i="2"/>
  <c r="U404" i="2"/>
  <c r="V404" i="2" s="1"/>
  <c r="Q321" i="2"/>
  <c r="P321" i="2"/>
  <c r="U321" i="2"/>
  <c r="V321" i="2" s="1"/>
  <c r="P410" i="2"/>
  <c r="Q410" i="2"/>
  <c r="P342" i="2"/>
  <c r="Q342" i="2"/>
  <c r="Q265" i="2"/>
  <c r="P265" i="2"/>
  <c r="Q255" i="2"/>
  <c r="P240" i="2"/>
  <c r="Q296" i="2"/>
  <c r="U296" i="2" s="1"/>
  <c r="V296" i="2" s="1"/>
  <c r="Q234" i="2"/>
  <c r="U234" i="2" s="1"/>
  <c r="V234" i="2" s="1"/>
  <c r="Q215" i="2"/>
  <c r="P215" i="2"/>
  <c r="U215" i="2" s="1"/>
  <c r="V215" i="2" s="1"/>
  <c r="Q151" i="2"/>
  <c r="U151" i="2" s="1"/>
  <c r="V151" i="2" s="1"/>
  <c r="P157" i="2"/>
  <c r="U157" i="2"/>
  <c r="V157" i="2" s="1"/>
  <c r="Q157" i="2"/>
  <c r="O254" i="2"/>
  <c r="O117" i="2"/>
  <c r="O133" i="2"/>
  <c r="P133" i="2" s="1"/>
  <c r="O137" i="2"/>
  <c r="O141" i="2"/>
  <c r="Q141" i="2" s="1"/>
  <c r="O145" i="2"/>
  <c r="Q145" i="2" s="1"/>
  <c r="O148" i="2"/>
  <c r="O149" i="2"/>
  <c r="O150" i="2"/>
  <c r="O153" i="2"/>
  <c r="P153" i="2"/>
  <c r="O161" i="2"/>
  <c r="O181" i="2"/>
  <c r="O193" i="2"/>
  <c r="O208" i="2"/>
  <c r="O276" i="2"/>
  <c r="Q276" i="2" s="1"/>
  <c r="O303" i="2"/>
  <c r="O311" i="2"/>
  <c r="O320" i="2"/>
  <c r="O324" i="2"/>
  <c r="O363" i="2"/>
  <c r="O367" i="2"/>
  <c r="O384" i="2"/>
  <c r="P384" i="2" s="1"/>
  <c r="O386" i="2"/>
  <c r="P386" i="2" s="1"/>
  <c r="O387" i="2"/>
  <c r="Q387" i="2" s="1"/>
  <c r="O428" i="2"/>
  <c r="U41" i="2"/>
  <c r="V41" i="2"/>
  <c r="U239" i="2"/>
  <c r="V239" i="2" s="1"/>
  <c r="U338" i="2"/>
  <c r="V338" i="2"/>
  <c r="U104" i="2"/>
  <c r="V104" i="2" s="1"/>
  <c r="U227" i="2"/>
  <c r="V227" i="2"/>
  <c r="U147" i="2"/>
  <c r="V147" i="2" s="1"/>
  <c r="O102" i="2"/>
  <c r="O442" i="2"/>
  <c r="U369" i="2"/>
  <c r="V369" i="2" s="1"/>
  <c r="O246" i="2"/>
  <c r="O336" i="2"/>
  <c r="O341" i="2"/>
  <c r="O344" i="2"/>
  <c r="O391" i="2"/>
  <c r="O431" i="2"/>
  <c r="Q431" i="2" s="1"/>
  <c r="O440" i="2"/>
  <c r="Q440" i="2" s="1"/>
  <c r="Q53" i="2"/>
  <c r="U120" i="2"/>
  <c r="V120" i="2" s="1"/>
  <c r="U174" i="2"/>
  <c r="V174" i="2"/>
  <c r="U8" i="2"/>
  <c r="V8" i="2" s="1"/>
  <c r="U116" i="2"/>
  <c r="V116" i="2"/>
  <c r="U192" i="2"/>
  <c r="V192" i="2" s="1"/>
  <c r="U235" i="2"/>
  <c r="V235" i="2"/>
  <c r="U265" i="2"/>
  <c r="V265" i="2" s="1"/>
  <c r="U44" i="2"/>
  <c r="V44" i="2" s="1"/>
  <c r="P276" i="2"/>
  <c r="P303" i="2"/>
  <c r="Q303" i="2"/>
  <c r="V247" i="2"/>
  <c r="U17" i="2"/>
  <c r="V17" i="2" s="1"/>
  <c r="U377" i="2"/>
  <c r="V377" i="2" s="1"/>
  <c r="U403" i="2"/>
  <c r="V403" i="2"/>
  <c r="U300" i="2"/>
  <c r="V300" i="2" s="1"/>
  <c r="U346" i="2"/>
  <c r="V346" i="2"/>
  <c r="U371" i="2"/>
  <c r="V371" i="2" s="1"/>
  <c r="U412" i="2"/>
  <c r="Q102" i="2"/>
  <c r="P102" i="2"/>
  <c r="U446" i="2"/>
  <c r="V446" i="2" s="1"/>
  <c r="W446" i="2" s="1"/>
  <c r="Q230" i="2"/>
  <c r="U230" i="2"/>
  <c r="V230" i="2"/>
  <c r="U45" i="2"/>
  <c r="V45" i="2" s="1"/>
  <c r="U232" i="2"/>
  <c r="V232" i="2"/>
  <c r="U163" i="2"/>
  <c r="V163" i="2" s="1"/>
  <c r="U173" i="2"/>
  <c r="V173" i="2" s="1"/>
  <c r="U211" i="2"/>
  <c r="V211" i="2" s="1"/>
  <c r="U343" i="2"/>
  <c r="V343" i="2" s="1"/>
  <c r="U12" i="2"/>
  <c r="V12" i="2" s="1"/>
  <c r="U128" i="2"/>
  <c r="V128" i="2" s="1"/>
  <c r="O14" i="2"/>
  <c r="O61" i="2"/>
  <c r="O65" i="2"/>
  <c r="O70" i="2"/>
  <c r="Q70" i="2" s="1"/>
  <c r="O71" i="2"/>
  <c r="P71" i="2"/>
  <c r="O72" i="2"/>
  <c r="O73" i="2"/>
  <c r="O75" i="2"/>
  <c r="O103" i="2"/>
  <c r="P103" i="2"/>
  <c r="O167" i="2"/>
  <c r="O172" i="2"/>
  <c r="Q172" i="2"/>
  <c r="O175" i="2"/>
  <c r="O199" i="2"/>
  <c r="O264" i="2"/>
  <c r="O280" i="2"/>
  <c r="O288" i="2"/>
  <c r="O292" i="2"/>
  <c r="O295" i="2"/>
  <c r="O298" i="2"/>
  <c r="O319" i="2"/>
  <c r="O382" i="2"/>
  <c r="O326" i="2"/>
  <c r="O398" i="2"/>
  <c r="O436" i="2"/>
  <c r="P436" i="2" s="1"/>
  <c r="O437" i="2"/>
  <c r="O438" i="2"/>
  <c r="Q438" i="2" s="1"/>
  <c r="O441" i="2"/>
  <c r="O443" i="2"/>
  <c r="P443" i="2" s="1"/>
  <c r="U443" i="2" s="1"/>
  <c r="V443" i="2" s="1"/>
  <c r="O445" i="2"/>
  <c r="U424" i="2"/>
  <c r="V424" i="2"/>
  <c r="U334" i="2"/>
  <c r="V334" i="2" s="1"/>
  <c r="O7" i="2"/>
  <c r="O11" i="2"/>
  <c r="O15" i="2"/>
  <c r="Q15" i="2" s="1"/>
  <c r="O19" i="2"/>
  <c r="O23" i="2"/>
  <c r="O26" i="2"/>
  <c r="P26" i="2" s="1"/>
  <c r="O121" i="2"/>
  <c r="O129" i="2"/>
  <c r="O130" i="2"/>
  <c r="O213" i="2"/>
  <c r="P213" i="2" s="1"/>
  <c r="O221" i="2"/>
  <c r="P221" i="2" s="1"/>
  <c r="O229" i="2"/>
  <c r="O237" i="2"/>
  <c r="O256" i="2"/>
  <c r="O263" i="2"/>
  <c r="Q263" i="2" s="1"/>
  <c r="O284" i="2"/>
  <c r="O285" i="2"/>
  <c r="P285" i="2" s="1"/>
  <c r="U285" i="2" s="1"/>
  <c r="V285" i="2" s="1"/>
  <c r="O316" i="2"/>
  <c r="Q316" i="2" s="1"/>
  <c r="O325" i="2"/>
  <c r="O329" i="2"/>
  <c r="P329" i="2" s="1"/>
  <c r="O358" i="2"/>
  <c r="O359" i="2"/>
  <c r="P359" i="2" s="1"/>
  <c r="O362" i="2"/>
  <c r="O399" i="2"/>
  <c r="O407" i="2"/>
  <c r="O427" i="2"/>
  <c r="U380" i="2"/>
  <c r="V380" i="2"/>
  <c r="U401" i="2"/>
  <c r="V401" i="2" s="1"/>
  <c r="U389" i="2"/>
  <c r="V389" i="2" s="1"/>
  <c r="O31" i="2"/>
  <c r="Q31" i="2" s="1"/>
  <c r="O35" i="2"/>
  <c r="Q35" i="2" s="1"/>
  <c r="O39" i="2"/>
  <c r="O40" i="2"/>
  <c r="O43" i="2"/>
  <c r="Q43" i="2" s="1"/>
  <c r="O46" i="2"/>
  <c r="O47" i="2"/>
  <c r="O48" i="2"/>
  <c r="O51" i="2"/>
  <c r="O54" i="2"/>
  <c r="O60" i="2"/>
  <c r="O62" i="2"/>
  <c r="O64" i="2"/>
  <c r="O66" i="2"/>
  <c r="O106" i="2"/>
  <c r="O110" i="2"/>
  <c r="P110" i="2" s="1"/>
  <c r="U110" i="2" s="1"/>
  <c r="V110" i="2" s="1"/>
  <c r="O111" i="2"/>
  <c r="Q111" i="2" s="1"/>
  <c r="O115" i="2"/>
  <c r="O127" i="2"/>
  <c r="O131" i="2"/>
  <c r="P131" i="2" s="1"/>
  <c r="O177" i="2"/>
  <c r="O179" i="2"/>
  <c r="O206" i="2"/>
  <c r="O207" i="2"/>
  <c r="O267" i="2"/>
  <c r="O271" i="2"/>
  <c r="O272" i="2"/>
  <c r="O277" i="2"/>
  <c r="O279" i="2"/>
  <c r="O283" i="2"/>
  <c r="O309" i="2"/>
  <c r="O310" i="2"/>
  <c r="O313" i="2"/>
  <c r="O314" i="2"/>
  <c r="O347" i="2"/>
  <c r="O348" i="2"/>
  <c r="O352" i="2"/>
  <c r="O353" i="2"/>
  <c r="O361" i="2"/>
  <c r="O406" i="2"/>
  <c r="O408" i="2"/>
  <c r="O415" i="2"/>
  <c r="O429" i="2"/>
  <c r="Q253" i="2"/>
  <c r="P253" i="2"/>
  <c r="U253" i="2"/>
  <c r="V253" i="2" s="1"/>
  <c r="Q370" i="2"/>
  <c r="U370" i="2"/>
  <c r="V370" i="2" s="1"/>
  <c r="Q419" i="2"/>
  <c r="P419" i="2"/>
  <c r="P37" i="2"/>
  <c r="U37" i="2" s="1"/>
  <c r="V37" i="2" s="1"/>
  <c r="Q13" i="2"/>
  <c r="P13" i="2"/>
  <c r="P385" i="2"/>
  <c r="U385" i="2" s="1"/>
  <c r="V385" i="2" s="1"/>
  <c r="Q385" i="2"/>
  <c r="Q443" i="2"/>
  <c r="Q445" i="2"/>
  <c r="P445" i="2"/>
  <c r="U445" i="2" s="1"/>
  <c r="V445" i="2" s="1"/>
  <c r="P219" i="2"/>
  <c r="Q219" i="2"/>
  <c r="U286" i="2"/>
  <c r="V286" i="2"/>
  <c r="P236" i="2"/>
  <c r="Q236" i="2"/>
  <c r="Q188" i="2"/>
  <c r="U188" i="2"/>
  <c r="V188" i="2" s="1"/>
  <c r="Q322" i="2"/>
  <c r="P322" i="2"/>
  <c r="U238" i="2"/>
  <c r="V238" i="2" s="1"/>
  <c r="P257" i="2"/>
  <c r="Q257" i="2"/>
  <c r="P233" i="2"/>
  <c r="Q233" i="2"/>
  <c r="U223" i="2"/>
  <c r="V223" i="2" s="1"/>
  <c r="U33" i="2"/>
  <c r="V33" i="2" s="1"/>
  <c r="U251" i="2"/>
  <c r="V251" i="2"/>
  <c r="U410" i="2"/>
  <c r="U89" i="2"/>
  <c r="V89" i="2"/>
  <c r="U124" i="2"/>
  <c r="V124" i="2" s="1"/>
  <c r="U231" i="2"/>
  <c r="V231" i="2"/>
  <c r="P36" i="2"/>
  <c r="U36" i="2" s="1"/>
  <c r="V36" i="2" s="1"/>
  <c r="U258" i="2"/>
  <c r="V258" i="2" s="1"/>
  <c r="Q203" i="2"/>
  <c r="P203" i="2"/>
  <c r="U203" i="2" s="1"/>
  <c r="V203" i="2" s="1"/>
  <c r="P438" i="2"/>
  <c r="P440" i="2"/>
  <c r="U259" i="2"/>
  <c r="V259" i="2" s="1"/>
  <c r="U9" i="2"/>
  <c r="V9" i="2"/>
  <c r="U418" i="2"/>
  <c r="V418" i="2"/>
  <c r="P228" i="2"/>
  <c r="U228" i="2" s="1"/>
  <c r="V228" i="2"/>
  <c r="U108" i="2"/>
  <c r="V108" i="2"/>
  <c r="U196" i="2"/>
  <c r="V196" i="2" s="1"/>
  <c r="Q435" i="2"/>
  <c r="U435" i="2"/>
  <c r="V435" i="2" s="1"/>
  <c r="P387" i="2"/>
  <c r="U387" i="2" s="1"/>
  <c r="V387" i="2"/>
  <c r="P426" i="2"/>
  <c r="Q426" i="2"/>
  <c r="P356" i="2"/>
  <c r="Q356" i="2"/>
  <c r="P318" i="2"/>
  <c r="Q318" i="2"/>
  <c r="P266" i="2"/>
  <c r="Q266" i="2"/>
  <c r="P312" i="2"/>
  <c r="Q312" i="2"/>
  <c r="Q214" i="2"/>
  <c r="U214" i="2"/>
  <c r="V214" i="2"/>
  <c r="P229" i="2"/>
  <c r="Q229" i="2"/>
  <c r="P237" i="2"/>
  <c r="U237" i="2" s="1"/>
  <c r="V237" i="2" s="1"/>
  <c r="Q237" i="2"/>
  <c r="Q285" i="2"/>
  <c r="Q329" i="2"/>
  <c r="Q359" i="2"/>
  <c r="Q360" i="2"/>
  <c r="P360" i="2"/>
  <c r="P397" i="2"/>
  <c r="Q397" i="2"/>
  <c r="Q91" i="2"/>
  <c r="U24" i="2"/>
  <c r="V24" i="2"/>
  <c r="U68" i="2"/>
  <c r="V68" i="2" s="1"/>
  <c r="P91" i="2"/>
  <c r="P431" i="2"/>
  <c r="U431" i="2"/>
  <c r="V431" i="2" s="1"/>
  <c r="Q281" i="2"/>
  <c r="U281" i="2"/>
  <c r="V281" i="2"/>
  <c r="O38" i="2"/>
  <c r="Q39" i="2"/>
  <c r="P39" i="2"/>
  <c r="Q47" i="2"/>
  <c r="P47" i="2"/>
  <c r="O57" i="2"/>
  <c r="O58" i="2"/>
  <c r="P66" i="2"/>
  <c r="Q66" i="2"/>
  <c r="O105" i="2"/>
  <c r="P106" i="2"/>
  <c r="Q106" i="2"/>
  <c r="O109" i="2"/>
  <c r="Q131" i="2"/>
  <c r="U131" i="2"/>
  <c r="V131" i="2" s="1"/>
  <c r="Q179" i="2"/>
  <c r="P179" i="2"/>
  <c r="O34" i="2"/>
  <c r="O98" i="2"/>
  <c r="O308" i="2"/>
  <c r="O355" i="2"/>
  <c r="O77" i="2"/>
  <c r="Q92" i="2"/>
  <c r="P92" i="2"/>
  <c r="O50" i="2"/>
  <c r="O63" i="2"/>
  <c r="O76" i="2"/>
  <c r="Q76" i="2"/>
  <c r="O78" i="2"/>
  <c r="O82" i="2"/>
  <c r="O83" i="2"/>
  <c r="O84" i="2"/>
  <c r="O87" i="2"/>
  <c r="Q87" i="2" s="1"/>
  <c r="O125" i="2"/>
  <c r="P125" i="2"/>
  <c r="O160" i="2"/>
  <c r="O178" i="2"/>
  <c r="O261" i="2"/>
  <c r="O274" i="2"/>
  <c r="O282" i="2"/>
  <c r="O299" i="2"/>
  <c r="O327" i="2"/>
  <c r="O433" i="2"/>
  <c r="O434" i="2"/>
  <c r="O10" i="2"/>
  <c r="O18" i="2"/>
  <c r="Q18" i="2"/>
  <c r="O55" i="2"/>
  <c r="O100" i="2"/>
  <c r="O107" i="2"/>
  <c r="P107" i="2"/>
  <c r="O123" i="2"/>
  <c r="Q123" i="2" s="1"/>
  <c r="O144" i="2"/>
  <c r="P144" i="2"/>
  <c r="O154" i="2"/>
  <c r="Q154" i="2" s="1"/>
  <c r="O164" i="2"/>
  <c r="P164" i="2"/>
  <c r="O165" i="2"/>
  <c r="Q165" i="2" s="1"/>
  <c r="U165" i="2" s="1"/>
  <c r="V165" i="2" s="1"/>
  <c r="O189" i="2"/>
  <c r="O212" i="2"/>
  <c r="O243" i="2"/>
  <c r="O268" i="2"/>
  <c r="O290" i="2"/>
  <c r="O307" i="2"/>
  <c r="O331" i="2"/>
  <c r="O349" i="2"/>
  <c r="U439" i="2"/>
  <c r="V439" i="2"/>
  <c r="O42" i="2"/>
  <c r="O74" i="2"/>
  <c r="O113" i="2"/>
  <c r="O119" i="2"/>
  <c r="P119" i="2" s="1"/>
  <c r="U119" i="2" s="1"/>
  <c r="V119" i="2" s="1"/>
  <c r="O135" i="2"/>
  <c r="P135" i="2"/>
  <c r="O139" i="2"/>
  <c r="O143" i="2"/>
  <c r="O152" i="2"/>
  <c r="O170" i="2"/>
  <c r="Q170" i="2"/>
  <c r="O190" i="2"/>
  <c r="O198" i="2"/>
  <c r="O202" i="2"/>
  <c r="O209" i="2"/>
  <c r="O216" i="2"/>
  <c r="O270" i="2"/>
  <c r="O302" i="2"/>
  <c r="O351" i="2"/>
  <c r="O357" i="2"/>
  <c r="O365" i="2"/>
  <c r="O383" i="2"/>
  <c r="O394" i="2"/>
  <c r="P218" i="2"/>
  <c r="U218" i="2" s="1"/>
  <c r="V218" i="2" s="1"/>
  <c r="P250" i="2"/>
  <c r="U250" i="2" s="1"/>
  <c r="V250" i="2" s="1"/>
  <c r="P224" i="2"/>
  <c r="U224" i="2"/>
  <c r="V224" i="2" s="1"/>
  <c r="P249" i="2"/>
  <c r="U249" i="2"/>
  <c r="V249" i="2"/>
  <c r="Q386" i="2"/>
  <c r="U386" i="2" s="1"/>
  <c r="V386" i="2" s="1"/>
  <c r="Q21" i="2"/>
  <c r="U21" i="2" s="1"/>
  <c r="V21" i="2" s="1"/>
  <c r="P49" i="2"/>
  <c r="U49" i="2"/>
  <c r="V49" i="2" s="1"/>
  <c r="P248" i="2"/>
  <c r="U248" i="2"/>
  <c r="V248" i="2"/>
  <c r="P244" i="2"/>
  <c r="U244" i="2" s="1"/>
  <c r="V244" i="2" s="1"/>
  <c r="P30" i="2"/>
  <c r="U30" i="2" s="1"/>
  <c r="V30" i="2" s="1"/>
  <c r="U252" i="2"/>
  <c r="V252" i="2"/>
  <c r="Q241" i="2"/>
  <c r="U241" i="2" s="1"/>
  <c r="V241" i="2" s="1"/>
  <c r="P417" i="2"/>
  <c r="U417" i="2" s="1"/>
  <c r="V417" i="2" s="1"/>
  <c r="U374" i="2"/>
  <c r="V374" i="2"/>
  <c r="Q95" i="2"/>
  <c r="U95" i="2" s="1"/>
  <c r="V95" i="2" s="1"/>
  <c r="Q22" i="2"/>
  <c r="P22" i="2"/>
  <c r="Q63" i="2"/>
  <c r="P63" i="2"/>
  <c r="P76" i="2"/>
  <c r="Q83" i="2"/>
  <c r="U83" i="2" s="1"/>
  <c r="V83" i="2" s="1"/>
  <c r="P83" i="2"/>
  <c r="Q125" i="2"/>
  <c r="Q114" i="2"/>
  <c r="P114" i="2"/>
  <c r="Q46" i="2"/>
  <c r="P46" i="2"/>
  <c r="U46" i="2"/>
  <c r="V46" i="2" s="1"/>
  <c r="P111" i="2"/>
  <c r="P115" i="2"/>
  <c r="Q115" i="2"/>
  <c r="Q133" i="2"/>
  <c r="U133" i="2"/>
  <c r="V133" i="2"/>
  <c r="P141" i="2"/>
  <c r="P148" i="2"/>
  <c r="Q148" i="2"/>
  <c r="P172" i="2"/>
  <c r="U172" i="2"/>
  <c r="V172" i="2" s="1"/>
  <c r="Q205" i="2"/>
  <c r="P205" i="2"/>
  <c r="Q26" i="2"/>
  <c r="Q65" i="2"/>
  <c r="P65" i="2"/>
  <c r="P70" i="2"/>
  <c r="Q71" i="2"/>
  <c r="Q72" i="2"/>
  <c r="P72" i="2"/>
  <c r="U72" i="2"/>
  <c r="V72" i="2" s="1"/>
  <c r="Q73" i="2"/>
  <c r="P73" i="2"/>
  <c r="Q100" i="2"/>
  <c r="P100" i="2"/>
  <c r="P127" i="2"/>
  <c r="Q127" i="2"/>
  <c r="P158" i="2"/>
  <c r="Q158" i="2"/>
  <c r="P31" i="2"/>
  <c r="Q42" i="2"/>
  <c r="P42" i="2"/>
  <c r="Q135" i="2"/>
  <c r="U135" i="2"/>
  <c r="V135" i="2"/>
  <c r="P35" i="2"/>
  <c r="U35" i="2" s="1"/>
  <c r="V35" i="2" s="1"/>
  <c r="P27" i="2"/>
  <c r="U27" i="2" s="1"/>
  <c r="V27" i="2" s="1"/>
  <c r="Q79" i="2"/>
  <c r="U79" i="2"/>
  <c r="V79" i="2" s="1"/>
  <c r="P15" i="2"/>
  <c r="U15" i="2"/>
  <c r="V15" i="2"/>
  <c r="O183" i="2"/>
  <c r="O315" i="2"/>
  <c r="O381" i="2"/>
  <c r="O402" i="2"/>
  <c r="U85" i="2"/>
  <c r="V85" i="2" s="1"/>
  <c r="Q56" i="2"/>
  <c r="U56" i="2"/>
  <c r="V56" i="2" s="1"/>
  <c r="O275" i="2"/>
  <c r="O278" i="2"/>
  <c r="O306" i="2"/>
  <c r="O323" i="2"/>
  <c r="O345" i="2"/>
  <c r="O395" i="2"/>
  <c r="O430" i="2"/>
  <c r="U111" i="2"/>
  <c r="V111" i="2" s="1"/>
  <c r="Q208" i="2"/>
  <c r="P208" i="2"/>
  <c r="U70" i="2"/>
  <c r="V70" i="2" s="1"/>
  <c r="U66" i="2"/>
  <c r="V66" i="2"/>
  <c r="U39" i="2"/>
  <c r="V39" i="2" s="1"/>
  <c r="P263" i="2"/>
  <c r="U263" i="2" s="1"/>
  <c r="V263" i="2" s="1"/>
  <c r="P428" i="2"/>
  <c r="U428" i="2" s="1"/>
  <c r="V428" i="2" s="1"/>
  <c r="Q428" i="2"/>
  <c r="P311" i="2"/>
  <c r="U311" i="2" s="1"/>
  <c r="V311" i="2" s="1"/>
  <c r="Q311" i="2"/>
  <c r="Q150" i="2"/>
  <c r="P150" i="2"/>
  <c r="U150" i="2" s="1"/>
  <c r="V150" i="2" s="1"/>
  <c r="U342" i="2"/>
  <c r="V342" i="2" s="1"/>
  <c r="U414" i="2"/>
  <c r="V414" i="2"/>
  <c r="P165" i="2"/>
  <c r="Q153" i="2"/>
  <c r="U153" i="2" s="1"/>
  <c r="V153" i="2" s="1"/>
  <c r="P145" i="2"/>
  <c r="U145" i="2" s="1"/>
  <c r="V145" i="2" s="1"/>
  <c r="Q103" i="2"/>
  <c r="U103" i="2"/>
  <c r="V103" i="2" s="1"/>
  <c r="Q110" i="2"/>
  <c r="U106" i="2"/>
  <c r="V106" i="2"/>
  <c r="P43" i="2"/>
  <c r="Q213" i="2"/>
  <c r="U213" i="2"/>
  <c r="V213" i="2" s="1"/>
  <c r="U356" i="2"/>
  <c r="V356" i="2"/>
  <c r="Q436" i="2"/>
  <c r="U436" i="2" s="1"/>
  <c r="V436" i="2" s="1"/>
  <c r="Q384" i="2"/>
  <c r="Q336" i="2"/>
  <c r="U336" i="2" s="1"/>
  <c r="V336" i="2" s="1"/>
  <c r="P336" i="2"/>
  <c r="Q363" i="2"/>
  <c r="P363" i="2"/>
  <c r="U363" i="2" s="1"/>
  <c r="V363" i="2" s="1"/>
  <c r="Q181" i="2"/>
  <c r="U181" i="2" s="1"/>
  <c r="V181" i="2" s="1"/>
  <c r="P181" i="2"/>
  <c r="Q149" i="2"/>
  <c r="U149" i="2" s="1"/>
  <c r="V149" i="2" s="1"/>
  <c r="P149" i="2"/>
  <c r="Q137" i="2"/>
  <c r="U137" i="2" s="1"/>
  <c r="V137" i="2" s="1"/>
  <c r="P137" i="2"/>
  <c r="P254" i="2"/>
  <c r="Q254" i="2"/>
  <c r="P344" i="2"/>
  <c r="Q344" i="2"/>
  <c r="U344" i="2"/>
  <c r="V344" i="2" s="1"/>
  <c r="Q320" i="2"/>
  <c r="U320" i="2"/>
  <c r="V320" i="2" s="1"/>
  <c r="P320" i="2"/>
  <c r="Q117" i="2"/>
  <c r="P117" i="2"/>
  <c r="U117" i="2"/>
  <c r="V117" i="2" s="1"/>
  <c r="Q119" i="2"/>
  <c r="Q144" i="2"/>
  <c r="U91" i="2"/>
  <c r="V91" i="2"/>
  <c r="P341" i="2"/>
  <c r="U341" i="2" s="1"/>
  <c r="V341" i="2" s="1"/>
  <c r="Q341" i="2"/>
  <c r="P442" i="2"/>
  <c r="Q442" i="2"/>
  <c r="Q367" i="2"/>
  <c r="P367" i="2"/>
  <c r="U367" i="2" s="1"/>
  <c r="V367" i="2" s="1"/>
  <c r="Q193" i="2"/>
  <c r="U193" i="2"/>
  <c r="V193" i="2" s="1"/>
  <c r="P193" i="2"/>
  <c r="U318" i="2"/>
  <c r="V318" i="2" s="1"/>
  <c r="U438" i="2"/>
  <c r="V438" i="2"/>
  <c r="U384" i="2"/>
  <c r="V384" i="2" s="1"/>
  <c r="U419" i="2"/>
  <c r="V419" i="2"/>
  <c r="U102" i="2"/>
  <c r="V102" i="2" s="1"/>
  <c r="U276" i="2"/>
  <c r="V276" i="2"/>
  <c r="P391" i="2"/>
  <c r="U391" i="2" s="1"/>
  <c r="V391" i="2" s="1"/>
  <c r="Q391" i="2"/>
  <c r="Q246" i="2"/>
  <c r="P246" i="2"/>
  <c r="P324" i="2"/>
  <c r="Q324" i="2"/>
  <c r="P161" i="2"/>
  <c r="U161" i="2" s="1"/>
  <c r="V161" i="2" s="1"/>
  <c r="Q161" i="2"/>
  <c r="U322" i="2"/>
  <c r="V322" i="2"/>
  <c r="P429" i="2"/>
  <c r="U429" i="2" s="1"/>
  <c r="V429" i="2" s="1"/>
  <c r="Q429" i="2"/>
  <c r="Q361" i="2"/>
  <c r="U361" i="2" s="1"/>
  <c r="V361" i="2" s="1"/>
  <c r="P361" i="2"/>
  <c r="Q347" i="2"/>
  <c r="U347" i="2" s="1"/>
  <c r="V347" i="2" s="1"/>
  <c r="P347" i="2"/>
  <c r="P309" i="2"/>
  <c r="Q309" i="2"/>
  <c r="Q272" i="2"/>
  <c r="P272" i="2"/>
  <c r="U272" i="2"/>
  <c r="V272" i="2" s="1"/>
  <c r="Q206" i="2"/>
  <c r="P206" i="2"/>
  <c r="U206" i="2"/>
  <c r="V206" i="2" s="1"/>
  <c r="P60" i="2"/>
  <c r="U60" i="2"/>
  <c r="V60" i="2"/>
  <c r="Q60" i="2"/>
  <c r="Q407" i="2"/>
  <c r="P407" i="2"/>
  <c r="U407" i="2"/>
  <c r="Q358" i="2"/>
  <c r="P358" i="2"/>
  <c r="Q130" i="2"/>
  <c r="P130" i="2"/>
  <c r="Q23" i="2"/>
  <c r="P23" i="2"/>
  <c r="Q7" i="2"/>
  <c r="P7" i="2"/>
  <c r="U7" i="2" s="1"/>
  <c r="V7" i="2" s="1"/>
  <c r="Q298" i="2"/>
  <c r="P298" i="2"/>
  <c r="P280" i="2"/>
  <c r="Q280" i="2"/>
  <c r="U280" i="2"/>
  <c r="V280" i="2" s="1"/>
  <c r="U13" i="2"/>
  <c r="V13" i="2"/>
  <c r="P415" i="2"/>
  <c r="Q415" i="2"/>
  <c r="Q353" i="2"/>
  <c r="P353" i="2"/>
  <c r="U353" i="2"/>
  <c r="V353" i="2" s="1"/>
  <c r="Q314" i="2"/>
  <c r="P314" i="2"/>
  <c r="U314" i="2"/>
  <c r="V314" i="2" s="1"/>
  <c r="P283" i="2"/>
  <c r="Q283" i="2"/>
  <c r="P271" i="2"/>
  <c r="Q271" i="2"/>
  <c r="Q54" i="2"/>
  <c r="P54" i="2"/>
  <c r="Q399" i="2"/>
  <c r="P399" i="2"/>
  <c r="U399" i="2" s="1"/>
  <c r="V399" i="2" s="1"/>
  <c r="P284" i="2"/>
  <c r="Q284" i="2"/>
  <c r="P129" i="2"/>
  <c r="Q129" i="2"/>
  <c r="U129" i="2"/>
  <c r="V129" i="2" s="1"/>
  <c r="Q19" i="2"/>
  <c r="P19" i="2"/>
  <c r="Q437" i="2"/>
  <c r="P437" i="2"/>
  <c r="U437" i="2" s="1"/>
  <c r="V437" i="2" s="1"/>
  <c r="P326" i="2"/>
  <c r="U326" i="2" s="1"/>
  <c r="V326" i="2" s="1"/>
  <c r="Q326" i="2"/>
  <c r="Q295" i="2"/>
  <c r="P295" i="2"/>
  <c r="Q264" i="2"/>
  <c r="P264" i="2"/>
  <c r="U264" i="2"/>
  <c r="V264" i="2" s="1"/>
  <c r="Q167" i="2"/>
  <c r="P167" i="2"/>
  <c r="U167" i="2"/>
  <c r="V167" i="2" s="1"/>
  <c r="Q61" i="2"/>
  <c r="P61" i="2"/>
  <c r="U125" i="2"/>
  <c r="V125" i="2" s="1"/>
  <c r="U397" i="2"/>
  <c r="V397" i="2" s="1"/>
  <c r="U359" i="2"/>
  <c r="V359" i="2"/>
  <c r="P408" i="2"/>
  <c r="Q408" i="2"/>
  <c r="P352" i="2"/>
  <c r="Q352" i="2"/>
  <c r="U352" i="2"/>
  <c r="V352" i="2" s="1"/>
  <c r="P313" i="2"/>
  <c r="Q313" i="2"/>
  <c r="U313" i="2" s="1"/>
  <c r="V313" i="2" s="1"/>
  <c r="P279" i="2"/>
  <c r="Q279" i="2"/>
  <c r="Q267" i="2"/>
  <c r="P267" i="2"/>
  <c r="P177" i="2"/>
  <c r="Q177" i="2"/>
  <c r="U177" i="2"/>
  <c r="V177" i="2" s="1"/>
  <c r="P64" i="2"/>
  <c r="Q64" i="2"/>
  <c r="U64" i="2" s="1"/>
  <c r="V64" i="2" s="1"/>
  <c r="Q51" i="2"/>
  <c r="P51" i="2"/>
  <c r="Q362" i="2"/>
  <c r="P362" i="2"/>
  <c r="U362" i="2" s="1"/>
  <c r="V362" i="2" s="1"/>
  <c r="Q325" i="2"/>
  <c r="P325" i="2"/>
  <c r="U325" i="2" s="1"/>
  <c r="V325" i="2" s="1"/>
  <c r="Q121" i="2"/>
  <c r="U121" i="2" s="1"/>
  <c r="V121" i="2" s="1"/>
  <c r="P121" i="2"/>
  <c r="Q382" i="2"/>
  <c r="P382" i="2"/>
  <c r="P292" i="2"/>
  <c r="Q292" i="2"/>
  <c r="Q199" i="2"/>
  <c r="P199" i="2"/>
  <c r="Q14" i="2"/>
  <c r="P14" i="2"/>
  <c r="U14" i="2" s="1"/>
  <c r="V14" i="2" s="1"/>
  <c r="U42" i="2"/>
  <c r="V42" i="2"/>
  <c r="U73" i="2"/>
  <c r="V73" i="2" s="1"/>
  <c r="U71" i="2"/>
  <c r="V71" i="2"/>
  <c r="U65" i="2"/>
  <c r="V65" i="2" s="1"/>
  <c r="P18" i="2"/>
  <c r="U18" i="2"/>
  <c r="V18" i="2"/>
  <c r="U92" i="2"/>
  <c r="V92" i="2" s="1"/>
  <c r="U47" i="2"/>
  <c r="V47" i="2"/>
  <c r="U360" i="2"/>
  <c r="V360" i="2" s="1"/>
  <c r="U329" i="2"/>
  <c r="V329" i="2"/>
  <c r="U440" i="2"/>
  <c r="V440" i="2" s="1"/>
  <c r="U233" i="2"/>
  <c r="V233" i="2"/>
  <c r="U236" i="2"/>
  <c r="V236" i="2" s="1"/>
  <c r="U219" i="2"/>
  <c r="V219" i="2"/>
  <c r="Q406" i="2"/>
  <c r="U406" i="2" s="1"/>
  <c r="P406" i="2"/>
  <c r="Q348" i="2"/>
  <c r="P348" i="2"/>
  <c r="U348" i="2" s="1"/>
  <c r="V348" i="2" s="1"/>
  <c r="Q310" i="2"/>
  <c r="P310" i="2"/>
  <c r="U310" i="2" s="1"/>
  <c r="V310" i="2" s="1"/>
  <c r="P277" i="2"/>
  <c r="Q277" i="2"/>
  <c r="Q207" i="2"/>
  <c r="P207" i="2"/>
  <c r="U207" i="2" s="1"/>
  <c r="V207" i="2" s="1"/>
  <c r="P62" i="2"/>
  <c r="Q62" i="2"/>
  <c r="Q48" i="2"/>
  <c r="P48" i="2"/>
  <c r="U48" i="2"/>
  <c r="V48" i="2" s="1"/>
  <c r="P40" i="2"/>
  <c r="Q40" i="2"/>
  <c r="Q427" i="2"/>
  <c r="P427" i="2"/>
  <c r="U427" i="2" s="1"/>
  <c r="V427" i="2" s="1"/>
  <c r="Q256" i="2"/>
  <c r="P256" i="2"/>
  <c r="Q11" i="2"/>
  <c r="P11" i="2"/>
  <c r="U11" i="2"/>
  <c r="V11" i="2" s="1"/>
  <c r="P441" i="2"/>
  <c r="Q441" i="2"/>
  <c r="Q398" i="2"/>
  <c r="P398" i="2"/>
  <c r="U398" i="2" s="1"/>
  <c r="V398" i="2" s="1"/>
  <c r="P319" i="2"/>
  <c r="U319" i="2" s="1"/>
  <c r="V319" i="2" s="1"/>
  <c r="Q319" i="2"/>
  <c r="P288" i="2"/>
  <c r="Q288" i="2"/>
  <c r="U288" i="2"/>
  <c r="V288" i="2" s="1"/>
  <c r="Q175" i="2"/>
  <c r="P175" i="2"/>
  <c r="P75" i="2"/>
  <c r="U75" i="2" s="1"/>
  <c r="V75" i="2" s="1"/>
  <c r="Q75" i="2"/>
  <c r="U303" i="2"/>
  <c r="V303" i="2"/>
  <c r="Q216" i="2"/>
  <c r="P216" i="2"/>
  <c r="U216" i="2" s="1"/>
  <c r="V216" i="2" s="1"/>
  <c r="Q74" i="2"/>
  <c r="P74" i="2"/>
  <c r="Q331" i="2"/>
  <c r="P331" i="2"/>
  <c r="U331" i="2"/>
  <c r="V331" i="2" s="1"/>
  <c r="Q10" i="2"/>
  <c r="P10" i="2"/>
  <c r="U158" i="2"/>
  <c r="V158" i="2" s="1"/>
  <c r="P394" i="2"/>
  <c r="U394" i="2" s="1"/>
  <c r="V394" i="2" s="1"/>
  <c r="Q394" i="2"/>
  <c r="Q351" i="2"/>
  <c r="P351" i="2"/>
  <c r="Q209" i="2"/>
  <c r="P209" i="2"/>
  <c r="U209" i="2" s="1"/>
  <c r="V209" i="2" s="1"/>
  <c r="P307" i="2"/>
  <c r="Q307" i="2"/>
  <c r="Q212" i="2"/>
  <c r="U212" i="2"/>
  <c r="V212" i="2" s="1"/>
  <c r="P212" i="2"/>
  <c r="P434" i="2"/>
  <c r="Q434" i="2"/>
  <c r="Q282" i="2"/>
  <c r="P282" i="2"/>
  <c r="Q160" i="2"/>
  <c r="P160" i="2"/>
  <c r="U160" i="2" s="1"/>
  <c r="V160" i="2" s="1"/>
  <c r="Q98" i="2"/>
  <c r="P98" i="2"/>
  <c r="U98" i="2" s="1"/>
  <c r="V98" i="2" s="1"/>
  <c r="U312" i="2"/>
  <c r="V312" i="2"/>
  <c r="Q357" i="2"/>
  <c r="P357" i="2"/>
  <c r="U357" i="2" s="1"/>
  <c r="V357" i="2" s="1"/>
  <c r="Q139" i="2"/>
  <c r="P139" i="2"/>
  <c r="U139" i="2" s="1"/>
  <c r="V139" i="2" s="1"/>
  <c r="Q243" i="2"/>
  <c r="P243" i="2"/>
  <c r="U243" i="2"/>
  <c r="V243" i="2"/>
  <c r="P178" i="2"/>
  <c r="Q178" i="2"/>
  <c r="P308" i="2"/>
  <c r="Q308" i="2"/>
  <c r="Q107" i="2"/>
  <c r="U63" i="2"/>
  <c r="V63" i="2" s="1"/>
  <c r="P383" i="2"/>
  <c r="U383" i="2"/>
  <c r="V383" i="2"/>
  <c r="Q383" i="2"/>
  <c r="Q302" i="2"/>
  <c r="P302" i="2"/>
  <c r="Q202" i="2"/>
  <c r="P202" i="2"/>
  <c r="U202" i="2" s="1"/>
  <c r="V202" i="2" s="1"/>
  <c r="Q152" i="2"/>
  <c r="U152" i="2" s="1"/>
  <c r="V152" i="2" s="1"/>
  <c r="P152" i="2"/>
  <c r="Q290" i="2"/>
  <c r="P290" i="2"/>
  <c r="U290" i="2"/>
  <c r="V290" i="2" s="1"/>
  <c r="P189" i="2"/>
  <c r="Q189" i="2"/>
  <c r="U189" i="2" s="1"/>
  <c r="V189" i="2" s="1"/>
  <c r="Q55" i="2"/>
  <c r="U55" i="2" s="1"/>
  <c r="V55" i="2" s="1"/>
  <c r="P55" i="2"/>
  <c r="P433" i="2"/>
  <c r="Q433" i="2"/>
  <c r="P274" i="2"/>
  <c r="Q274" i="2"/>
  <c r="Q82" i="2"/>
  <c r="P82" i="2"/>
  <c r="U82" i="2"/>
  <c r="V82" i="2" s="1"/>
  <c r="P50" i="2"/>
  <c r="Q50" i="2"/>
  <c r="P34" i="2"/>
  <c r="U34" i="2" s="1"/>
  <c r="V34" i="2" s="1"/>
  <c r="Q34" i="2"/>
  <c r="Q109" i="2"/>
  <c r="P109" i="2"/>
  <c r="U109" i="2" s="1"/>
  <c r="V109" i="2" s="1"/>
  <c r="P105" i="2"/>
  <c r="Q105" i="2"/>
  <c r="P58" i="2"/>
  <c r="Q58" i="2"/>
  <c r="U58" i="2" s="1"/>
  <c r="V58" i="2" s="1"/>
  <c r="P38" i="2"/>
  <c r="U38" i="2" s="1"/>
  <c r="V38" i="2" s="1"/>
  <c r="Q38" i="2"/>
  <c r="U426" i="2"/>
  <c r="V426" i="2"/>
  <c r="U257" i="2"/>
  <c r="V257" i="2" s="1"/>
  <c r="Q190" i="2"/>
  <c r="P190" i="2"/>
  <c r="P299" i="2"/>
  <c r="Q299" i="2"/>
  <c r="Q84" i="2"/>
  <c r="P84" i="2"/>
  <c r="U84" i="2" s="1"/>
  <c r="V84" i="2" s="1"/>
  <c r="P57" i="2"/>
  <c r="U57" i="2" s="1"/>
  <c r="V57" i="2" s="1"/>
  <c r="Q57" i="2"/>
  <c r="P170" i="2"/>
  <c r="U170" i="2"/>
  <c r="V170" i="2"/>
  <c r="Q164" i="2"/>
  <c r="U164" i="2"/>
  <c r="V164" i="2"/>
  <c r="P154" i="2"/>
  <c r="U154" i="2" s="1"/>
  <c r="V154" i="2" s="1"/>
  <c r="U205" i="2"/>
  <c r="V205" i="2"/>
  <c r="U22" i="2"/>
  <c r="V22" i="2"/>
  <c r="Q365" i="2"/>
  <c r="P365" i="2"/>
  <c r="Q270" i="2"/>
  <c r="P270" i="2"/>
  <c r="U270" i="2" s="1"/>
  <c r="V270" i="2" s="1"/>
  <c r="Q198" i="2"/>
  <c r="P198" i="2"/>
  <c r="Q143" i="2"/>
  <c r="P143" i="2"/>
  <c r="P113" i="2"/>
  <c r="Q113" i="2"/>
  <c r="Q349" i="2"/>
  <c r="U349" i="2"/>
  <c r="V349" i="2" s="1"/>
  <c r="P349" i="2"/>
  <c r="Q268" i="2"/>
  <c r="P268" i="2"/>
  <c r="U268" i="2" s="1"/>
  <c r="V268" i="2" s="1"/>
  <c r="P327" i="2"/>
  <c r="U327" i="2"/>
  <c r="V327" i="2" s="1"/>
  <c r="Q327" i="2"/>
  <c r="Q261" i="2"/>
  <c r="P261" i="2"/>
  <c r="Q78" i="2"/>
  <c r="P78" i="2"/>
  <c r="P77" i="2"/>
  <c r="Q77" i="2"/>
  <c r="Q355" i="2"/>
  <c r="P355" i="2"/>
  <c r="U179" i="2"/>
  <c r="V179" i="2"/>
  <c r="U229" i="2"/>
  <c r="V229" i="2"/>
  <c r="U266" i="2"/>
  <c r="V266" i="2"/>
  <c r="Q395" i="2"/>
  <c r="P395" i="2"/>
  <c r="Q278" i="2"/>
  <c r="P278" i="2"/>
  <c r="U278" i="2" s="1"/>
  <c r="V278" i="2" s="1"/>
  <c r="Q183" i="2"/>
  <c r="P183" i="2"/>
  <c r="U183" i="2" s="1"/>
  <c r="V183" i="2" s="1"/>
  <c r="Q345" i="2"/>
  <c r="P345" i="2"/>
  <c r="U345" i="2"/>
  <c r="V345" i="2"/>
  <c r="Q275" i="2"/>
  <c r="P275" i="2"/>
  <c r="Q402" i="2"/>
  <c r="P402" i="2"/>
  <c r="U402" i="2" s="1"/>
  <c r="V402" i="2" s="1"/>
  <c r="U26" i="2"/>
  <c r="V26" i="2" s="1"/>
  <c r="U76" i="2"/>
  <c r="V76" i="2"/>
  <c r="Q323" i="2"/>
  <c r="P323" i="2"/>
  <c r="U323" i="2" s="1"/>
  <c r="V323" i="2" s="1"/>
  <c r="Q381" i="2"/>
  <c r="P381" i="2"/>
  <c r="U381" i="2"/>
  <c r="V381" i="2"/>
  <c r="U127" i="2"/>
  <c r="V127" i="2" s="1"/>
  <c r="U107" i="2"/>
  <c r="V107" i="2"/>
  <c r="Q430" i="2"/>
  <c r="P430" i="2"/>
  <c r="P306" i="2"/>
  <c r="Q306" i="2"/>
  <c r="P315" i="2"/>
  <c r="Q315" i="2"/>
  <c r="U31" i="2"/>
  <c r="V31" i="2"/>
  <c r="U144" i="2"/>
  <c r="V144" i="2" s="1"/>
  <c r="U100" i="2"/>
  <c r="V100" i="2"/>
  <c r="U148" i="2"/>
  <c r="V148" i="2" s="1"/>
  <c r="U141" i="2"/>
  <c r="V141" i="2"/>
  <c r="U115" i="2"/>
  <c r="V115" i="2" s="1"/>
  <c r="U114" i="2"/>
  <c r="V114" i="2"/>
  <c r="U308" i="2"/>
  <c r="V308" i="2"/>
  <c r="U408" i="2"/>
  <c r="U295" i="2"/>
  <c r="V295" i="2" s="1"/>
  <c r="U442" i="2"/>
  <c r="V442" i="2"/>
  <c r="U254" i="2"/>
  <c r="V254" i="2" s="1"/>
  <c r="U208" i="2"/>
  <c r="V208" i="2"/>
  <c r="U77" i="2"/>
  <c r="V77" i="2" s="1"/>
  <c r="U307" i="2"/>
  <c r="V307" i="2" s="1"/>
  <c r="U271" i="2"/>
  <c r="V271" i="2" s="1"/>
  <c r="U130" i="2"/>
  <c r="V130" i="2"/>
  <c r="U324" i="2"/>
  <c r="V324" i="2" s="1"/>
  <c r="U275" i="2"/>
  <c r="V275" i="2"/>
  <c r="U355" i="2"/>
  <c r="V355" i="2" s="1"/>
  <c r="U78" i="2"/>
  <c r="V78" i="2"/>
  <c r="U143" i="2"/>
  <c r="V143" i="2" s="1"/>
  <c r="U190" i="2"/>
  <c r="V190" i="2" s="1"/>
  <c r="U74" i="2"/>
  <c r="V74" i="2" s="1"/>
  <c r="U175" i="2"/>
  <c r="V175" i="2"/>
  <c r="U441" i="2"/>
  <c r="V441" i="2" s="1"/>
  <c r="U292" i="2"/>
  <c r="V292" i="2"/>
  <c r="U51" i="2"/>
  <c r="V51" i="2" s="1"/>
  <c r="U267" i="2"/>
  <c r="V267" i="2"/>
  <c r="U61" i="2"/>
  <c r="V61" i="2" s="1"/>
  <c r="U19" i="2"/>
  <c r="V19" i="2"/>
  <c r="U54" i="2"/>
  <c r="V54" i="2" s="1"/>
  <c r="U283" i="2"/>
  <c r="V283" i="2"/>
  <c r="U298" i="2"/>
  <c r="V298" i="2" s="1"/>
  <c r="U23" i="2"/>
  <c r="V23" i="2"/>
  <c r="U309" i="2"/>
  <c r="V309" i="2" s="1"/>
  <c r="U246" i="2"/>
  <c r="V246" i="2"/>
  <c r="U261" i="2"/>
  <c r="V261" i="2" s="1"/>
  <c r="U274" i="2"/>
  <c r="V274" i="2" s="1"/>
  <c r="U282" i="2"/>
  <c r="V282" i="2" s="1"/>
  <c r="U40" i="2"/>
  <c r="V40" i="2"/>
  <c r="U62" i="2"/>
  <c r="V62" i="2" s="1"/>
  <c r="U277" i="2"/>
  <c r="V277" i="2"/>
  <c r="U199" i="2"/>
  <c r="V199" i="2" s="1"/>
  <c r="U382" i="2"/>
  <c r="V382" i="2"/>
  <c r="U306" i="2"/>
  <c r="V306" i="2" s="1"/>
  <c r="U10" i="2"/>
  <c r="V10" i="2" s="1"/>
  <c r="U358" i="2"/>
  <c r="V358" i="2"/>
  <c r="U430" i="2"/>
  <c r="V430" i="2" s="1"/>
  <c r="U395" i="2"/>
  <c r="V395" i="2" s="1"/>
  <c r="U113" i="2"/>
  <c r="V113" i="2"/>
  <c r="U198" i="2"/>
  <c r="V198" i="2" s="1"/>
  <c r="U365" i="2"/>
  <c r="V365" i="2"/>
  <c r="U433" i="2"/>
  <c r="V433" i="2" s="1"/>
  <c r="U178" i="2"/>
  <c r="V178" i="2" s="1"/>
  <c r="U351" i="2"/>
  <c r="V351" i="2" s="1"/>
  <c r="U256" i="2"/>
  <c r="V256" i="2" s="1"/>
  <c r="U279" i="2"/>
  <c r="V279" i="2"/>
  <c r="U284" i="2"/>
  <c r="V284" i="2" s="1"/>
  <c r="U415" i="2"/>
  <c r="V415" i="2"/>
  <c r="U315" i="2"/>
  <c r="V315" i="2" s="1"/>
  <c r="U50" i="2"/>
  <c r="V50" i="2" s="1"/>
  <c r="U434" i="2"/>
  <c r="V434" i="2" s="1"/>
  <c r="U299" i="2"/>
  <c r="V299" i="2" s="1"/>
  <c r="U105" i="2"/>
  <c r="V105" i="2" s="1"/>
  <c r="U302" i="2"/>
  <c r="V302" i="2" s="1"/>
  <c r="U43" i="2" l="1"/>
  <c r="V43" i="2" s="1"/>
  <c r="P87" i="2"/>
  <c r="U87" i="2" s="1"/>
  <c r="V87" i="2" s="1"/>
  <c r="P316" i="2"/>
  <c r="U316" i="2" s="1"/>
  <c r="V316" i="2" s="1"/>
  <c r="U411" i="2"/>
  <c r="P123" i="2"/>
  <c r="U123" i="2" s="1"/>
  <c r="V123" i="2" s="1"/>
  <c r="Q221" i="2"/>
  <c r="U221" i="2" s="1"/>
  <c r="V221" i="2" s="1"/>
  <c r="Q222" i="2"/>
  <c r="U222" i="2" s="1"/>
  <c r="V222" i="2" s="1"/>
  <c r="P52" i="2"/>
  <c r="U52" i="2" s="1"/>
  <c r="V52" i="2" s="1"/>
  <c r="Q225" i="2"/>
  <c r="U225" i="2" s="1"/>
  <c r="V225" i="2" s="1"/>
  <c r="Q88" i="2"/>
  <c r="P88" i="2"/>
  <c r="U88" i="2" s="1"/>
  <c r="V88" i="2" s="1"/>
  <c r="Q59" i="2"/>
  <c r="U59" i="2" s="1"/>
  <c r="V59" i="2" s="1"/>
  <c r="U396" i="2"/>
  <c r="V396" i="2" s="1"/>
  <c r="P67" i="2"/>
  <c r="U67" i="2" s="1"/>
  <c r="V67" i="2" s="1"/>
  <c r="U29" i="2"/>
  <c r="V29" i="2" s="1"/>
  <c r="U204" i="2"/>
  <c r="V204" i="2" s="1"/>
  <c r="P332" i="2"/>
  <c r="Q332" i="2"/>
  <c r="U332" i="2" s="1"/>
  <c r="V332" i="2" s="1"/>
  <c r="P444" i="2"/>
  <c r="U444" i="2" s="1"/>
  <c r="V444" i="2" s="1"/>
  <c r="Q444" i="2"/>
  <c r="Q126" i="2"/>
  <c r="P126" i="2"/>
  <c r="Q168" i="2"/>
  <c r="P168" i="2"/>
  <c r="Q191" i="2"/>
  <c r="P191" i="2"/>
  <c r="U191" i="2" s="1"/>
  <c r="V191" i="2" s="1"/>
  <c r="U126" i="2"/>
  <c r="V126" i="2" s="1"/>
  <c r="Q122" i="2"/>
  <c r="P122" i="2"/>
  <c r="U122" i="2"/>
  <c r="V122" i="2" s="1"/>
  <c r="P376" i="2"/>
  <c r="U376" i="2"/>
  <c r="V376" i="2" s="1"/>
  <c r="U138" i="2"/>
  <c r="V138" i="2" s="1"/>
  <c r="Q69" i="2"/>
  <c r="U69" i="2" s="1"/>
  <c r="V69" i="2" s="1"/>
  <c r="O28" i="2"/>
  <c r="U155" i="2"/>
  <c r="V155" i="2" s="1"/>
  <c r="O156" i="2"/>
  <c r="O159" i="2"/>
  <c r="Q184" i="2"/>
  <c r="U184" i="2"/>
  <c r="V184" i="2" s="1"/>
  <c r="O294" i="2"/>
  <c r="O80" i="2"/>
  <c r="O16" i="2"/>
  <c r="O97" i="2"/>
  <c r="Q118" i="2"/>
  <c r="P118" i="2"/>
  <c r="Q159" i="2" l="1"/>
  <c r="P159" i="2"/>
  <c r="U159" i="2" s="1"/>
  <c r="V159" i="2" s="1"/>
  <c r="Q97" i="2"/>
  <c r="P97" i="2"/>
  <c r="U97" i="2" s="1"/>
  <c r="V97" i="2" s="1"/>
  <c r="Q156" i="2"/>
  <c r="P156" i="2"/>
  <c r="U156" i="2"/>
  <c r="V156" i="2" s="1"/>
  <c r="Q294" i="2"/>
  <c r="P294" i="2"/>
  <c r="U294" i="2" s="1"/>
  <c r="V294" i="2" s="1"/>
  <c r="P16" i="2"/>
  <c r="U16" i="2" s="1"/>
  <c r="V16" i="2" s="1"/>
  <c r="Q16" i="2"/>
  <c r="U118" i="2"/>
  <c r="V118" i="2" s="1"/>
  <c r="Q80" i="2"/>
  <c r="U80" i="2" s="1"/>
  <c r="V80" i="2" s="1"/>
  <c r="P80" i="2"/>
  <c r="Q28" i="2"/>
  <c r="P28" i="2"/>
  <c r="U28" i="2" s="1"/>
  <c r="V28" i="2" s="1"/>
  <c r="U168" i="2"/>
  <c r="V168" i="2" s="1"/>
</calcChain>
</file>

<file path=xl/sharedStrings.xml><?xml version="1.0" encoding="utf-8"?>
<sst xmlns="http://schemas.openxmlformats.org/spreadsheetml/2006/main" count="2469" uniqueCount="1993">
  <si>
    <t>Прием терапевта</t>
  </si>
  <si>
    <t>Прием дерматолога</t>
  </si>
  <si>
    <t>Прием эндокринолога</t>
  </si>
  <si>
    <t>Прием психотерапевта</t>
  </si>
  <si>
    <t>Прием невролога</t>
  </si>
  <si>
    <t>Прием врача мануальной терапии</t>
  </si>
  <si>
    <t>Внутривенная инъекция</t>
  </si>
  <si>
    <t>Внутримышечная и подкожная инъекция</t>
  </si>
  <si>
    <t>Флюорография</t>
  </si>
  <si>
    <t>Спирография</t>
  </si>
  <si>
    <t>Промывание мочевого пузыря</t>
  </si>
  <si>
    <t>Взятие мазков из молочных желез</t>
  </si>
  <si>
    <t>Кольпоскопия</t>
  </si>
  <si>
    <t>Прием гинеколога</t>
  </si>
  <si>
    <t>Вращательная проба</t>
  </si>
  <si>
    <t>Промывание лакун миндалин</t>
  </si>
  <si>
    <t>Зондирование слезных канальцев</t>
  </si>
  <si>
    <t>Периметрия обзорная на белый объект</t>
  </si>
  <si>
    <t>Периметрия на цветные объекты</t>
  </si>
  <si>
    <t>Прием травматолога-ортопеда</t>
  </si>
  <si>
    <t>Исследование на демодекс</t>
  </si>
  <si>
    <t>Реакция микропреципитации</t>
  </si>
  <si>
    <t>Осмотр врача стоматолога</t>
  </si>
  <si>
    <t>Консультация врача стоматолога</t>
  </si>
  <si>
    <t>Удаление пломбы</t>
  </si>
  <si>
    <t>Покрытие фиссур 1-го зуба герметиком</t>
  </si>
  <si>
    <t>Обучение гигиене полости рта</t>
  </si>
  <si>
    <t>Трепанация интактного зуба</t>
  </si>
  <si>
    <t>Прием врача по лечебной физкультуре</t>
  </si>
  <si>
    <t>Прием врача физиотерапевта</t>
  </si>
  <si>
    <t>Консультация заведующего отделением</t>
  </si>
  <si>
    <t>Рентгенография зубов (1 зуб)</t>
  </si>
  <si>
    <t>Цистоскопия</t>
  </si>
  <si>
    <t>Взятие крови из вены</t>
  </si>
  <si>
    <t>Электростимуляция сетчатки</t>
  </si>
  <si>
    <t>Определение СОЭ</t>
  </si>
  <si>
    <t>Длительность кровотечения</t>
  </si>
  <si>
    <t>Время свертывания крови</t>
  </si>
  <si>
    <t>Микроскопия в моче</t>
  </si>
  <si>
    <t>Вливание в гортань</t>
  </si>
  <si>
    <t>Реэнцефалография</t>
  </si>
  <si>
    <t>Биомикроскопия</t>
  </si>
  <si>
    <t>Заполнение посыльного листа</t>
  </si>
  <si>
    <t>Определение гематокрита</t>
  </si>
  <si>
    <t>Мануальная терапия на суставах ( 1 сеанс)</t>
  </si>
  <si>
    <t>Прием ревматолога</t>
  </si>
  <si>
    <t>Прием кардиолога</t>
  </si>
  <si>
    <t>Экспертное заключение профпригодности</t>
  </si>
  <si>
    <t>Наименование услуг</t>
  </si>
  <si>
    <t>Средний мед. персонал</t>
  </si>
  <si>
    <t>Рабочих часов в год</t>
  </si>
  <si>
    <t>Холтеровское мониторирование ЭКГ</t>
  </si>
  <si>
    <t>Врачи</t>
  </si>
  <si>
    <t>Чтение дентальной рентгенограммы</t>
  </si>
  <si>
    <t>Электрокардиография</t>
  </si>
  <si>
    <t>Рентабельность 25%</t>
  </si>
  <si>
    <t>Общий анализ крови</t>
  </si>
  <si>
    <t>Общий анализ мочи</t>
  </si>
  <si>
    <t>Затраты времени на одно посещение (минут)</t>
  </si>
  <si>
    <t>Затраты времени (минут)</t>
  </si>
  <si>
    <t>Годовой ФОТ (руб.)</t>
  </si>
  <si>
    <t>Сумма основной з/платы (руб.)</t>
  </si>
  <si>
    <t>ИТОГО сумма основной з/платы (руб.)</t>
  </si>
  <si>
    <t>Материалы (руб.)</t>
  </si>
  <si>
    <t>ИТОГО (руб.)</t>
  </si>
  <si>
    <t>ВСЕГО стоимость услуги</t>
  </si>
  <si>
    <t>Прием врача по спортивной медицине</t>
  </si>
  <si>
    <t>Рентгенография нижней челюсти (1 проекция)</t>
  </si>
  <si>
    <t>Рентгенография околоносовых пазух (1 проекция)</t>
  </si>
  <si>
    <t>Рентгенография костей таза (1 проекция)</t>
  </si>
  <si>
    <t>Восстановление разрушенной коронки с помощью проволочного каркаса (анкер)</t>
  </si>
  <si>
    <t>Лечение пульпита с пломбировкой 2-х корневого зуба</t>
  </si>
  <si>
    <t>Лечение пульпита с пломбировкой 3-х корневого зуба</t>
  </si>
  <si>
    <t>Лечение осложненного кариеса импортным препаратом</t>
  </si>
  <si>
    <t>Использование импортных полировочных наборов</t>
  </si>
  <si>
    <t>Удаление доброкачественной опухоли кожи</t>
  </si>
  <si>
    <t>Некрэктомия</t>
  </si>
  <si>
    <t>Консультация  кандидата наук</t>
  </si>
  <si>
    <t>Электрофорез наружный (1 поле)</t>
  </si>
  <si>
    <t>Подсчет тромбоцитов</t>
  </si>
  <si>
    <t>Исследование крови 3 показателя (эритроциты, лейкоциты, гемоглобин)</t>
  </si>
  <si>
    <t>Мануальная терапия классическая (1 сеанс)</t>
  </si>
  <si>
    <t>Мануальная терапия краниальная (1 сеанс)</t>
  </si>
  <si>
    <t>Мануальная терапия висцеральная (1 сеанс)</t>
  </si>
  <si>
    <t xml:space="preserve">Тракция подводная горизонтальная (1 сеанс) </t>
  </si>
  <si>
    <t>Ударно-волновая терапия радиальная (1 сустав)</t>
  </si>
  <si>
    <t>Ударно-волновая терапия фокусированная (1 сустав)</t>
  </si>
  <si>
    <t>Прием рефлексотерапевта</t>
  </si>
  <si>
    <t>Прием хирурга</t>
  </si>
  <si>
    <t>Прием уролога</t>
  </si>
  <si>
    <t>Предрейсовый осмотр (1 день)</t>
  </si>
  <si>
    <t>Перевязка ран, хирургическая обработка</t>
  </si>
  <si>
    <t>Обзор брюшной полости и малого таза на предмет жидкости</t>
  </si>
  <si>
    <t>Измерение артериального давления</t>
  </si>
  <si>
    <t>Рентгенография кистей и стоп (1 проекция)</t>
  </si>
  <si>
    <t>Обзорный снимок почек (1 снимок)</t>
  </si>
  <si>
    <t>Рентгенография прицельная (1 снимок)</t>
  </si>
  <si>
    <t>Рентгенография брюшной полости (1 снимок)</t>
  </si>
  <si>
    <t>Описание рентгенограмм (1 рентгенограмма)</t>
  </si>
  <si>
    <t>Рентгенография лопатки (1 снимок)</t>
  </si>
  <si>
    <t>Рентгенография ребер (1 снимок)</t>
  </si>
  <si>
    <t>Рентгенография шейного отдела (2 проекции + сгибание + разгибание)</t>
  </si>
  <si>
    <t>Суточное мониторирование артериального давления</t>
  </si>
  <si>
    <t>Прием гастроэнтеролога</t>
  </si>
  <si>
    <r>
      <t>Прием врачей поликлиники</t>
    </r>
    <r>
      <rPr>
        <b/>
        <sz val="12"/>
        <rFont val="Arial Cyr"/>
        <family val="2"/>
        <charset val="204"/>
      </rPr>
      <t/>
    </r>
  </si>
  <si>
    <t>Дерматологические услуги</t>
  </si>
  <si>
    <t>Манипуляции</t>
  </si>
  <si>
    <r>
      <t>Рентгенография</t>
    </r>
    <r>
      <rPr>
        <b/>
        <sz val="12"/>
        <rFont val="Arial Cyr"/>
        <family val="2"/>
        <charset val="204"/>
      </rPr>
      <t/>
    </r>
  </si>
  <si>
    <t>Функциональная диагностика</t>
  </si>
  <si>
    <t>Аппаратная физиотерапия</t>
  </si>
  <si>
    <r>
      <t>Гидротерапия</t>
    </r>
    <r>
      <rPr>
        <b/>
        <sz val="12"/>
        <rFont val="Arial Cyr"/>
        <family val="2"/>
        <charset val="204"/>
      </rPr>
      <t/>
    </r>
  </si>
  <si>
    <r>
      <t>Рефлексотерапия</t>
    </r>
    <r>
      <rPr>
        <b/>
        <sz val="12"/>
        <rFont val="Arial Cyr"/>
        <family val="2"/>
        <charset val="204"/>
      </rPr>
      <t/>
    </r>
  </si>
  <si>
    <t>Урология</t>
  </si>
  <si>
    <r>
      <t>Хирургия</t>
    </r>
    <r>
      <rPr>
        <b/>
        <sz val="12"/>
        <rFont val="Arial Cyr"/>
        <family val="2"/>
        <charset val="204"/>
      </rPr>
      <t/>
    </r>
  </si>
  <si>
    <r>
      <t>Гинекология</t>
    </r>
    <r>
      <rPr>
        <b/>
        <sz val="12"/>
        <rFont val="Arial Cyr"/>
        <family val="2"/>
        <charset val="204"/>
      </rPr>
      <t/>
    </r>
  </si>
  <si>
    <t>Лазеротерапия наружная (1 сеанс)</t>
  </si>
  <si>
    <t>Реклинация блоков позвоночника пассивная аутогравитационная (ДЭТЕНЗОР, ГРЭВИТРИН) (1 занятие)</t>
  </si>
  <si>
    <t>Тракция аппаратная "сухая" (1 сеанс)</t>
  </si>
  <si>
    <t>Психотерапия индивидуальная (1 занятие)</t>
  </si>
  <si>
    <t>Психотерапия групповая (1 занятие)</t>
  </si>
  <si>
    <t>Аудио-визуальная стимуляция (1 сеанс)</t>
  </si>
  <si>
    <t>Микроволновая терапия дециметрового диапазона (1 процедура)</t>
  </si>
  <si>
    <t>Магнитотерапия (1 процедура)</t>
  </si>
  <si>
    <t>Ультразвуковая терапия, фонофорез (1 процедура)</t>
  </si>
  <si>
    <t>Электростимуляция транскраниальная (1 процедура)</t>
  </si>
  <si>
    <t>Ультравысокочастотная терапия (УВЧ-терапия, индуктотермия) (1 процедура)</t>
  </si>
  <si>
    <t>Крайне высоко частотная-терапия (КВЧ-терапия) (1 сеанс)</t>
  </si>
  <si>
    <t>Парафинотерапия (1 поле)</t>
  </si>
  <si>
    <t>Электротерапия низко-среднечастотная импульсная (1 процедура)</t>
  </si>
  <si>
    <t>Ванны вихревые локальные (1 процедура)</t>
  </si>
  <si>
    <t>Ванны жемчужные общие (1 процедура)</t>
  </si>
  <si>
    <t>Гидромассаж ручной общий (1 процедура 20 минут)</t>
  </si>
  <si>
    <t>Гидромассаж ручной локальный  (1 процедура 12 минут)</t>
  </si>
  <si>
    <t>Лечебная гимнастика групповая (1 занятие)</t>
  </si>
  <si>
    <t>Лечебная гимнастика индивидуальная, проводимая инструктором (1 занятие)</t>
  </si>
  <si>
    <t xml:space="preserve">Гимнастика динамическая программная на системе KINITEC, 1 вид движений (1 занятие) </t>
  </si>
  <si>
    <t xml:space="preserve">Гимнастика динамическая программная на системе KINITEC, более 1 вида движений (1 занятие) </t>
  </si>
  <si>
    <t>Механотерапия лечебная на системе DAVID BACK CONCEPT по индивидуальной программе (1 сеанс)</t>
  </si>
  <si>
    <t>Массаж ручной волосистой части головы (1 сеанс)</t>
  </si>
  <si>
    <t>Массаж ручной лица (1 сеанс)</t>
  </si>
  <si>
    <t>Массаж ручной грудной клетки (1 сеанс)</t>
  </si>
  <si>
    <t>Массаж ручной живота (1 сеанс)</t>
  </si>
  <si>
    <t>Массаж ручной спины (1 сеанс)</t>
  </si>
  <si>
    <t>Массаж ручной верхней конечности (1 сеанс)</t>
  </si>
  <si>
    <t>Массаж ручной плечевого сустава (1 сеанс)</t>
  </si>
  <si>
    <t>Массаж ручной нижней конечности (1 сеанс)</t>
  </si>
  <si>
    <t>Массаж ручной позвоночника (1 сеанс)</t>
  </si>
  <si>
    <t>Массаж ручной шейно-грудной области (1 сеанс)</t>
  </si>
  <si>
    <t>Массаж ручной шейно-воротниковой области (1 сеанс)</t>
  </si>
  <si>
    <t>Массаж ручной шейно-воротниковой области и верхней конечности (1 сеанс)</t>
  </si>
  <si>
    <t>Массаж ручной пояснично-крестцового отдела позвоночника (1 сеанс)</t>
  </si>
  <si>
    <t>Массаж ручной пояснично-крестцовой области и тазобренного сустава (1 сеанс)</t>
  </si>
  <si>
    <t>Массаж вакуумный (1 процедура)</t>
  </si>
  <si>
    <t>Тестирование позвоночника на цифровой системе DAVID BACK CONCEPT (1 исследование)</t>
  </si>
  <si>
    <t>Анализ результатов тестирования на системе DAVID BACK CONCEPT, расчеты индивидуальной программы тренинга, протокол (1 тест)</t>
  </si>
  <si>
    <t>Рефлексотерапия корпоральная (1 сеанс)</t>
  </si>
  <si>
    <t>Рефлексотерапия по акупунктурным микросистемам (1 сеанс)</t>
  </si>
  <si>
    <t>Рефлексотерапевтический массаж (1 сеанс)</t>
  </si>
  <si>
    <t>Вакуум-терапия традиционная (1 сеанс)</t>
  </si>
  <si>
    <t>Аурикулодиагностика (1 сеанс)</t>
  </si>
  <si>
    <t>Мокса-терапия (прогревание) (1 сеанс)</t>
  </si>
  <si>
    <t>Гониоскопия</t>
  </si>
  <si>
    <t>Рентгенография костей носа (1 проекция)</t>
  </si>
  <si>
    <t>Рентгенография поясничного отдела позвоночника (сгиб + разгиб) (2 проекции)</t>
  </si>
  <si>
    <t>Рентгенография органов грудной клетки (обзорная) (1 проекция)</t>
  </si>
  <si>
    <t>Рентгенография стоп с нагрузкой (продольное плоскостопие) (1 проекция)</t>
  </si>
  <si>
    <t>Рентгенография стоп с нагрузкой (продольное плоскостопие) (2 проекции)</t>
  </si>
  <si>
    <t>Рентгенография стоп с нагрузкой (поперечное плоскостопие) (1 проекция)</t>
  </si>
  <si>
    <t>Рентгенография стоп с нагрузкой (поперечное плоскостопие) (2 проекции)</t>
  </si>
  <si>
    <t>Продувание по Политцеру с одной стороны</t>
  </si>
  <si>
    <t>Промывание уха с одной стороны</t>
  </si>
  <si>
    <t>Введение лекарственного вещества в наружный слуховой проход</t>
  </si>
  <si>
    <t>Аудиометрия</t>
  </si>
  <si>
    <t>Удаление пробок из уха крючком</t>
  </si>
  <si>
    <t>Массаж барабанной перепонки с одной стороны</t>
  </si>
  <si>
    <t>Взятие мазка</t>
  </si>
  <si>
    <t>Введение внутриматочной спирали</t>
  </si>
  <si>
    <t>Удаление внутриматочной спирали</t>
  </si>
  <si>
    <t>Удаление кондилом (до трех штук) (аппарат "Сургитрон")</t>
  </si>
  <si>
    <t>Удаление кондилом (более трех штук) (аппарат "Сургитрон")</t>
  </si>
  <si>
    <t>Массаж предстательной железы</t>
  </si>
  <si>
    <t>Осмотр предстательной железы</t>
  </si>
  <si>
    <t>Взятие мазков на ГН и флору, секрета простаты, ПЦР</t>
  </si>
  <si>
    <t>Смена эпицистостомы</t>
  </si>
  <si>
    <t>Электрокоагуляция полипов, кондилом</t>
  </si>
  <si>
    <t>Комлексная физиотерапия (аппарат "Андрогин")</t>
  </si>
  <si>
    <t xml:space="preserve">Выведение мочи катетером </t>
  </si>
  <si>
    <t>Инстилляция мочевого пузыря, уретры</t>
  </si>
  <si>
    <t>Исследование мочи на микроальбуминурию тест-полосками</t>
  </si>
  <si>
    <t>Исследование мазка на гонококки, трихомонады, кандидоз</t>
  </si>
  <si>
    <t>Исследование крови на волчаночные клетки</t>
  </si>
  <si>
    <t>Биохимическое исследование (тимоловая проба)</t>
  </si>
  <si>
    <t>Биохимическое исследование (мочевина)</t>
  </si>
  <si>
    <t>Биохимическое исследование (креатинин)</t>
  </si>
  <si>
    <t>Биохимическое исследование (общий белок)</t>
  </si>
  <si>
    <t>Биохимическое исследование (ревматоидный фактор)</t>
  </si>
  <si>
    <t>Биохимическое исследование (амилаза)</t>
  </si>
  <si>
    <t>Биохимическое исследование (общий холестерин)</t>
  </si>
  <si>
    <t>Биохимическое исследование (триглицериды)</t>
  </si>
  <si>
    <t>Биохимическое исследование (кальций общий)</t>
  </si>
  <si>
    <t>Биохимическое исследование (калий)</t>
  </si>
  <si>
    <t>Биохимическое исследование (железо)</t>
  </si>
  <si>
    <t>Биохимическое исследование (магний)</t>
  </si>
  <si>
    <t>Биохимическое исследование (фосфор)</t>
  </si>
  <si>
    <t>Биохимическое исследование (мочевая кислота)</t>
  </si>
  <si>
    <t>Биохимическое исследование (глюкоза капиллярная)</t>
  </si>
  <si>
    <t>Биохимическое исследование (глюкоза венозная)</t>
  </si>
  <si>
    <t>Биохимическое исследование (фибриноген)</t>
  </si>
  <si>
    <t>Биохимическое исследование (гликированный гемоглобин)</t>
  </si>
  <si>
    <t>Биохимическое исследование (С-реактивный белок)</t>
  </si>
  <si>
    <t>Биохимическое исследование (ЛПВП-холестерин)</t>
  </si>
  <si>
    <t>Биохимическое исследование (гамма-глутамилтрансфераза)</t>
  </si>
  <si>
    <t>Биохимическое исследование (щелочная фосфатаза)</t>
  </si>
  <si>
    <t>Цитология женской половой сферы, молочных желез</t>
  </si>
  <si>
    <t>Определение базофильной зернистости эритроцитов</t>
  </si>
  <si>
    <t>Тест толерантности к глюкозе</t>
  </si>
  <si>
    <t>Исследование МНО (ПО и ПТИ) из венозной крови</t>
  </si>
  <si>
    <t>Распломбирование корневых каналов (1-го)</t>
  </si>
  <si>
    <t>Распломбирование корневых кананалов (2-х)</t>
  </si>
  <si>
    <t>Анестезия (проводниковая, инфильтрационная)</t>
  </si>
  <si>
    <t>Лечение пульпита с пломбировкой однокорневого зуба</t>
  </si>
  <si>
    <t>Лечение периодонтита с пломбировкой однокорневого зуба</t>
  </si>
  <si>
    <t>Лечение периодонтита с пломбировкой 2-х корневого зуба</t>
  </si>
  <si>
    <t>Лечение периодонтита с пломбировкой 3-х корневого зуба</t>
  </si>
  <si>
    <t>Лечение пульпита с пломбировкой 2-х корневого зуба (2 посещения)</t>
  </si>
  <si>
    <t>Лечение пульпита с пломбировкой 3-х корневого зуба (2 посещения)</t>
  </si>
  <si>
    <t>Лечение периодонтита с пломбировкой однокорневого зуба (2-3 посещения)</t>
  </si>
  <si>
    <t>Лечение периодонтита с пломбировкой 3-х корневого зуба (2-3 посещения)</t>
  </si>
  <si>
    <t>Лечение периодонтита с пломбировкой 2-х корневого зуба (2-3 посещения)</t>
  </si>
  <si>
    <t xml:space="preserve">Лечение неосложненного кариеса (пломба из светочувствительного материала) </t>
  </si>
  <si>
    <t>Распломбирование корневых кананалов (3-х)</t>
  </si>
  <si>
    <t>Скейлинг (2 челюсти), профилактическая чистка, обработка двух челюстей фторсодержащим гелем</t>
  </si>
  <si>
    <t>Профилактическое средствово при гиперчувствительности (1 зуб)</t>
  </si>
  <si>
    <t>Лечение пульпита с пломбировкой однокорневого  зуба (2 посещения)</t>
  </si>
  <si>
    <t>Прием отоларинголога</t>
  </si>
  <si>
    <t>Прием офтальмолога</t>
  </si>
  <si>
    <t>Удаление папилломы аппаратом "Сургитрон"</t>
  </si>
  <si>
    <t>Удаление пигментного невуса</t>
  </si>
  <si>
    <t>Электрокардиография с дополнительным отведением</t>
  </si>
  <si>
    <t>Электрокардиография с лекарственной пробой</t>
  </si>
  <si>
    <t>Электрокардиография с нагрузкой</t>
  </si>
  <si>
    <t>Функция внешнего дыхания (проба с бронхолитиками)</t>
  </si>
  <si>
    <t>Реэнцефалография с функциональными пробами</t>
  </si>
  <si>
    <t>Ультразвуковое исследование почек + надпочечники</t>
  </si>
  <si>
    <t>Ультразвуковое исследование молочных желез и лимфоузлов</t>
  </si>
  <si>
    <t>Ультразвуковое исследование лимфоузлов (одна группа)</t>
  </si>
  <si>
    <t>Ультразвуковое исследование печени, желчного пузыря</t>
  </si>
  <si>
    <t>Ультразвуковое исследование поджелудочной железы</t>
  </si>
  <si>
    <t>Ультразвуковое исследование селезенки</t>
  </si>
  <si>
    <t>Ультразвуковое исследование суставов и окружающих мягких тканей</t>
  </si>
  <si>
    <t>Ультразвуковое исследование щитовидной железы с цветовым доплеровским картированием</t>
  </si>
  <si>
    <t>Ультразвуковое исследование яичек с цветовым доплеровским картированием</t>
  </si>
  <si>
    <t>Ультразвуковое исследование мочевого пузыря с определением остаточной мочи</t>
  </si>
  <si>
    <t>Ультразвуковая доплерография (УЗДГ) сосудов почек</t>
  </si>
  <si>
    <t>Ультразвуковая доплерография (УЗДГ) сосудов нижних конечностей (артерий) (с обязательным включением дополнительно к УЗДГ брюшного отдела аорты)</t>
  </si>
  <si>
    <t>Ультразвуковая доплерография (УЗДГ) сосудов нижних конечностей (вен)</t>
  </si>
  <si>
    <t>Ультразвуковая доплерография (УЗДГ) сосудов верхних конечностей (вен) (с обязательным включением НПВ и ее ветвей)</t>
  </si>
  <si>
    <t>Ультразвуковая доплерография (УЗДГ) сосудов верхних конечностей (артерий)</t>
  </si>
  <si>
    <t>Ультразвуковая доплерография (УЗДГ) брюшной аорты и ее ветвей</t>
  </si>
  <si>
    <t>Ультразвуковая доплерография (УЗДГ) брахиоцефальных сосудов</t>
  </si>
  <si>
    <t>Ультразвуковое исследование   плевральной полости, слюнных желез,  костной системы, гайморовой пазухи</t>
  </si>
  <si>
    <t>Пункция новообразований и суставов</t>
  </si>
  <si>
    <t>Блокада параартикулярная</t>
  </si>
  <si>
    <t>Удаление себорейной кератомы</t>
  </si>
  <si>
    <t>Вскрытие флегмоны</t>
  </si>
  <si>
    <t>Вскрытие абсцесса</t>
  </si>
  <si>
    <t>Вскрытие панариция</t>
  </si>
  <si>
    <t>Удаление точечной гемангиомы</t>
  </si>
  <si>
    <t>Профилактический осмотр работников, связанных со зрительно-напряженным трудом (прием офтальмолога)</t>
  </si>
  <si>
    <t>Стоматология</t>
  </si>
  <si>
    <t>Наложение пломбы при глубоком кариесе (лечебная прокладка)</t>
  </si>
  <si>
    <t xml:space="preserve">Проведение профилактических и медицинских осмотров </t>
  </si>
  <si>
    <t>Отоларингология</t>
  </si>
  <si>
    <t>Офтальмология</t>
  </si>
  <si>
    <t xml:space="preserve">Рентгенография органов грудной клетки (1 проекция) </t>
  </si>
  <si>
    <t>Рентгенография черепа (1 проекция)</t>
  </si>
  <si>
    <t>Рентгенография позвоночника (1 проекция)</t>
  </si>
  <si>
    <t>Рентген суставов (1 проекция)</t>
  </si>
  <si>
    <t>Косая проекция шейного отдела (1 проекция)</t>
  </si>
  <si>
    <t>Реовазография верхних или нижних конечностей</t>
  </si>
  <si>
    <t>Реовазография верхних или нижних конечностей с функциональными пробами</t>
  </si>
  <si>
    <t>Эхокардиография с цветным доплеровским картированием (узи с Доплером)</t>
  </si>
  <si>
    <t>Консультация доктора медицинских наук, профессора</t>
  </si>
  <si>
    <t>Рефлексотерапия корпоральная и/или прогревание, и/или постановка банок (1 сеанс)</t>
  </si>
  <si>
    <t>Предоставление одного комплекса лечебной гимнастики на диске</t>
  </si>
  <si>
    <t>Пневмолимфодренаж (1 конечность или область)</t>
  </si>
  <si>
    <t>Глубокая осцилляция (Хивамат) (1 процедура)</t>
  </si>
  <si>
    <t>%</t>
  </si>
  <si>
    <t>ПЕРЕЧЕНЬ</t>
  </si>
  <si>
    <t>Амортизация оборудования</t>
  </si>
  <si>
    <t>балансовая стоимость</t>
  </si>
  <si>
    <t>Сумма амортизации на услугу</t>
  </si>
  <si>
    <t>Начисления на з/плату (30,2%) (руб.)</t>
  </si>
  <si>
    <t>Общщее время работы оборудования до износа (мин.)</t>
  </si>
  <si>
    <t>Постановка внутривенной инфузионной системы</t>
  </si>
  <si>
    <t xml:space="preserve">Антропометрия </t>
  </si>
  <si>
    <t xml:space="preserve">Проба виброчувствительности (вибротест) </t>
  </si>
  <si>
    <t xml:space="preserve">Велоэргометрия с расшифровкой результата </t>
  </si>
  <si>
    <t>Лечение на аппарате "Яровит"</t>
  </si>
  <si>
    <t>Урофлоуметрия</t>
  </si>
  <si>
    <t>Ультразвуковое исследование паращитовидных желез</t>
  </si>
  <si>
    <t>Ультразвуковое исследование мягких тканей</t>
  </si>
  <si>
    <t>Авторефрактометрия</t>
  </si>
  <si>
    <t xml:space="preserve">Динамометрия </t>
  </si>
  <si>
    <t xml:space="preserve">Холодовая проба </t>
  </si>
  <si>
    <t xml:space="preserve">Определение вибрационной чувствительности с помощью камертона </t>
  </si>
  <si>
    <t>Оформление санаторно-курортной карты</t>
  </si>
  <si>
    <t>Направление на курс реабилитации, физиолечения, дневной стационар</t>
  </si>
  <si>
    <t>Анализ мочи по Зимницкому</t>
  </si>
  <si>
    <t>Анализ мочи по Нечипоренко</t>
  </si>
  <si>
    <t>Биохимическое исследование (АЛТ)</t>
  </si>
  <si>
    <t>Биохимическое исследование (АСТ)</t>
  </si>
  <si>
    <t>АПТВ-тест</t>
  </si>
  <si>
    <t>Окраска на тельца Гейнца</t>
  </si>
  <si>
    <t xml:space="preserve">Электрофорез внутриполостной (1 поле) </t>
  </si>
  <si>
    <t>Вскрытие атеромы</t>
  </si>
  <si>
    <t>Удаление вросшего ногтя (удаление ногтевой пластины)</t>
  </si>
  <si>
    <t>Проба на лидокаин</t>
  </si>
  <si>
    <t>Вскрытие фурункула</t>
  </si>
  <si>
    <t>Соскоб на демодекс</t>
  </si>
  <si>
    <t>Оценка уровня гликемии</t>
  </si>
  <si>
    <t xml:space="preserve">Обучение технике самоконтроля на глюкометре </t>
  </si>
  <si>
    <t xml:space="preserve">Обучение использования шприц-ручки </t>
  </si>
  <si>
    <r>
      <t xml:space="preserve">Медицинское обслуживание домов и баз отдыха, съездов, совещаний и конференций, зрелищных мероприятий, спортивных соревнований в </t>
    </r>
    <r>
      <rPr>
        <b/>
        <sz val="12"/>
        <rFont val="Arial Cyr"/>
        <charset val="204"/>
      </rPr>
      <t xml:space="preserve">рабочий день (1 час) </t>
    </r>
  </si>
  <si>
    <r>
      <t xml:space="preserve">Медицинское обслуживание домов и баз отдыха, съездов, совещаний и конференций, зрелищных мероприятий, спортивных соревнований в </t>
    </r>
    <r>
      <rPr>
        <b/>
        <sz val="12"/>
        <rFont val="Arial Cyr"/>
        <charset val="204"/>
      </rPr>
      <t xml:space="preserve">выходной и праздничный день (1 час) </t>
    </r>
  </si>
  <si>
    <t xml:space="preserve">Кардиоваскулярные пробы </t>
  </si>
  <si>
    <t>Школа коррекции веса (1 занятие)</t>
  </si>
  <si>
    <t>Гормональная коррекция, лечение бесплодия</t>
  </si>
  <si>
    <t>Реклинация блоков позвоночника аппаратная динамическая (БЭК ЛАЙФ) (1 занятие) врач</t>
  </si>
  <si>
    <t>Реклинация блоков позвоночника аппаратная динамическая (БЭК ЛАЙФ) (1 занятие) инструктор ЛФК</t>
  </si>
  <si>
    <t xml:space="preserve">Биоимпедансметрия: проведение измерений (Ин боди) (1 исследование) </t>
  </si>
  <si>
    <t>Биоимпедансметрия: анализ физического уровня и рисков, индивидуальная двигательная программа, протокол (1 прием)</t>
  </si>
  <si>
    <t>Тракция аппаратная "сухая" (1 сеанс) ТРАКТАЙЗЕР (Япония)</t>
  </si>
  <si>
    <t>Многоканальная электростимуляция 1 конечность</t>
  </si>
  <si>
    <t>Многоканальная электростимуляция 2 конечности</t>
  </si>
  <si>
    <t>Электротерапия низко-среднечастотная импульсная (2 и более полей)</t>
  </si>
  <si>
    <t>Цифровое исследование двигательной функции отдела опорно-двигательного аппарата (анализ, протокол)</t>
  </si>
  <si>
    <t>Массаж ручной голеностопного сустава (1 сеанс)</t>
  </si>
  <si>
    <t>Массаж ручной предплечья и кисти (1 сеанс)</t>
  </si>
  <si>
    <t>Массаж ручной тазобедренного сустава (1 сеанс)</t>
  </si>
  <si>
    <t>Массаж ручной коленного сустава (1 сеанс)</t>
  </si>
  <si>
    <t xml:space="preserve">Врачебно-педагогический контроль (врачебно-педагогическое наблюдение (1 занятие - 45 минут)) </t>
  </si>
  <si>
    <t xml:space="preserve">Врачебно-педагогический контроль на дому (врачебно-педагогическое наблюдение (1 занятие - 60 минут)) </t>
  </si>
  <si>
    <t xml:space="preserve">Пункция сустава лечебная (1 сустав) </t>
  </si>
  <si>
    <t>Скейлинг (1 челюсти), профилактическая чистка, обработка 1 челюсти фторсодержащим гелем</t>
  </si>
  <si>
    <t>Скейлинг (1 зуба), профилактическая чистка, обработка 1 зуба фторсодержащим гелем</t>
  </si>
  <si>
    <t>Накладные расходы (102%) (руб.)</t>
  </si>
  <si>
    <t>Удаление инородного тела из мягких тканей</t>
  </si>
  <si>
    <t>Исследовние кала на яйцеглист</t>
  </si>
  <si>
    <t>Исследование мазка из зева/носа на стафилококк</t>
  </si>
  <si>
    <t>Исследование кала на брюшной тиф</t>
  </si>
  <si>
    <t>Исследование кала на кишечную инфекцию</t>
  </si>
  <si>
    <t>Исследование крови на ВИЧ</t>
  </si>
  <si>
    <t>Исследование соскоба со слизистой носа на эозинофилы</t>
  </si>
  <si>
    <t>Исследование крови на гепатит В</t>
  </si>
  <si>
    <t>Исследование крови на гепатит С</t>
  </si>
  <si>
    <t>Взятие носового секрета на цитологию (эозинофилы)</t>
  </si>
  <si>
    <t>Соскоб (ухо, зев, нос)</t>
  </si>
  <si>
    <t>Исследование соскоба с языка, носа, уха, уретры</t>
  </si>
  <si>
    <t xml:space="preserve">Ультразвуковое исследование молочных желез </t>
  </si>
  <si>
    <t>Бактериологическое исследование на флору и чувствительность к антибиотикам (цервикальный канал, ухо, зев, нос)</t>
  </si>
  <si>
    <t>Забор материала на бак исследование (цервикальный канал, ухо, зев, нос)</t>
  </si>
  <si>
    <t>Подсчет ретикулоцитов</t>
  </si>
  <si>
    <t xml:space="preserve">Блокада паравертебральная (1 область) </t>
  </si>
  <si>
    <t xml:space="preserve">Школа коррекции веса (10 занятий) </t>
  </si>
  <si>
    <t xml:space="preserve">Вариабельность ритма сердца </t>
  </si>
  <si>
    <t xml:space="preserve">Компьютерная диагностика функционального здоровья </t>
  </si>
  <si>
    <t>Прием невролога специализированного отделения</t>
  </si>
  <si>
    <t>№ п/п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</si>
  <si>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</si>
  <si>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</si>
  <si>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</si>
  <si>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</si>
  <si>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</si>
  <si>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</si>
  <si>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</si>
  <si>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</si>
  <si>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</si>
  <si>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</si>
  <si>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</si>
  <si>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</si>
  <si>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</si>
  <si>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</si>
  <si>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</si>
  <si>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</si>
  <si>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</si>
  <si>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</si>
  <si>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</si>
  <si>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</si>
  <si>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</si>
  <si>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</si>
  <si>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</si>
  <si>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</si>
  <si>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</si>
  <si>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</si>
  <si>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</si>
  <si>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</si>
  <si>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</si>
  <si>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</si>
  <si>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</si>
  <si>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</si>
  <si>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</si>
  <si>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</si>
  <si>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</si>
  <si>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</si>
  <si>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</si>
  <si>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</si>
  <si>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</si>
  <si>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</si>
  <si>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</si>
  <si>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</si>
  <si>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</si>
  <si>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</si>
  <si>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</si>
  <si>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</si>
  <si>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</si>
  <si>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</si>
  <si>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</si>
  <si>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</si>
  <si>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</si>
  <si>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</si>
  <si>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</si>
  <si>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</si>
  <si>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</si>
  <si>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</si>
  <si>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</si>
  <si>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</si>
  <si>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</si>
  <si>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</si>
  <si>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</si>
  <si>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</si>
  <si>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</si>
  <si>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</si>
  <si>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</si>
  <si>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</si>
  <si>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</si>
  <si>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</si>
  <si>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</si>
  <si>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</si>
  <si>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</si>
  <si>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</si>
  <si>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</si>
  <si>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</si>
  <si>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090</t>
  </si>
  <si>
    <t>091</t>
  </si>
  <si>
    <t>092</t>
  </si>
  <si>
    <t>093</t>
  </si>
  <si>
    <t>094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</si>
  <si>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</si>
  <si>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</si>
  <si>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</si>
  <si>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</si>
  <si>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</si>
  <si>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</si>
  <si>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</si>
  <si>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</si>
  <si>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</si>
  <si>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</si>
  <si>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</si>
  <si>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</si>
  <si>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</si>
  <si>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</si>
  <si>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</si>
  <si>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</si>
  <si>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</si>
  <si>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</si>
  <si>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</si>
  <si>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</si>
  <si>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</si>
  <si>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</si>
  <si>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</si>
  <si>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</si>
  <si>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</si>
  <si>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</si>
  <si>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</si>
  <si>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</si>
  <si>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</si>
  <si>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</si>
  <si>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</si>
  <si>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</si>
  <si>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</si>
  <si>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</si>
  <si>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</si>
  <si>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</si>
  <si>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</si>
  <si>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</si>
  <si>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</si>
  <si>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</si>
  <si>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</si>
  <si>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</si>
  <si>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</si>
  <si>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</si>
  <si>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</si>
  <si>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</si>
  <si>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</si>
  <si>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</si>
  <si>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</si>
  <si>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</si>
  <si>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</si>
  <si>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</si>
  <si>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</si>
  <si>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</si>
  <si>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</si>
  <si>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</si>
  <si>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</si>
  <si>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</si>
  <si>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</si>
  <si>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</si>
  <si>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</si>
  <si>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</si>
  <si>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</si>
  <si>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</si>
  <si>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</si>
  <si>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</si>
  <si>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</si>
  <si>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</si>
  <si>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</si>
  <si>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</si>
  <si>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</si>
  <si>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</si>
  <si>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</si>
  <si>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</si>
  <si>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</si>
  <si>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</si>
  <si>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</si>
  <si>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177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</si>
  <si>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</si>
  <si>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</si>
  <si>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</si>
  <si>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</si>
  <si>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</si>
  <si>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</si>
  <si>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</si>
  <si>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</si>
  <si>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</si>
  <si>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</si>
  <si>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</si>
  <si>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</si>
  <si>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</si>
  <si>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</si>
  <si>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</si>
  <si>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</si>
  <si>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</si>
  <si>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</si>
  <si>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</si>
  <si>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</si>
  <si>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</si>
  <si>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</si>
  <si>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</si>
  <si>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</si>
  <si>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</si>
  <si>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</si>
  <si>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</si>
  <si>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</si>
  <si>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212</t>
  </si>
  <si>
    <t>213</t>
  </si>
  <si>
    <t>214</t>
  </si>
  <si>
    <t>215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</si>
  <si>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</si>
  <si>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</si>
  <si>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</si>
  <si>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</si>
  <si>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</si>
  <si>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</si>
  <si>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</si>
  <si>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</si>
  <si>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</si>
  <si>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</si>
  <si>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</si>
  <si>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</si>
  <si>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</si>
  <si>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</si>
  <si>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</si>
  <si>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</si>
  <si>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</si>
  <si>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</si>
  <si>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</si>
  <si>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</si>
  <si>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</si>
  <si>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</si>
  <si>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</si>
  <si>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</si>
  <si>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</si>
  <si>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</si>
  <si>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</si>
  <si>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</si>
  <si>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</si>
  <si>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</si>
  <si>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</si>
  <si>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</si>
  <si>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</si>
  <si>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</si>
  <si>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</si>
  <si>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</si>
  <si>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</si>
  <si>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</si>
  <si>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</si>
  <si>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</si>
  <si>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</si>
  <si>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</si>
  <si>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</si>
  <si>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</si>
  <si>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</si>
  <si>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</si>
  <si>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</si>
  <si>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</si>
  <si>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</si>
  <si>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</si>
  <si>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</si>
  <si>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</si>
  <si>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</si>
  <si>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</si>
  <si>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</si>
  <si>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</si>
  <si>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</si>
  <si>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</si>
  <si>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</si>
  <si>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</si>
  <si>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</si>
  <si>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</si>
  <si>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</si>
  <si>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</si>
  <si>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</si>
  <si>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</si>
  <si>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</si>
  <si>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</si>
  <si>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</si>
  <si>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</si>
  <si>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</si>
  <si>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</si>
  <si>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</si>
  <si>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</si>
  <si>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</si>
  <si>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</si>
  <si>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</si>
  <si>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</si>
  <si>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</si>
  <si>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</si>
  <si>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</si>
  <si>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</si>
  <si>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</si>
  <si>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304</t>
  </si>
  <si>
    <t>306</t>
  </si>
  <si>
    <t>307</t>
  </si>
  <si>
    <t>308</t>
  </si>
  <si>
    <t>309</t>
  </si>
  <si>
    <t>311</t>
  </si>
  <si>
    <t>312</t>
  </si>
  <si>
    <t>313</t>
  </si>
  <si>
    <t>315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</si>
  <si>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</si>
  <si>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</si>
  <si>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</si>
  <si>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</si>
  <si>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</si>
  <si>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</si>
  <si>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</si>
  <si>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</si>
  <si>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</si>
  <si>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327</t>
  </si>
  <si>
    <t>331</t>
  </si>
  <si>
    <t>332</t>
  </si>
  <si>
    <t>333</t>
  </si>
  <si>
    <t>335</t>
  </si>
  <si>
    <t>337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</si>
  <si>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</si>
  <si>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</si>
  <si>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</si>
  <si>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</si>
  <si>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</si>
  <si>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</si>
  <si>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</si>
  <si>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</si>
  <si>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</si>
  <si>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</si>
  <si>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</si>
  <si>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</si>
  <si>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</si>
  <si>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</si>
  <si>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</si>
  <si>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</si>
  <si>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</si>
  <si>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</si>
  <si>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</si>
  <si>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</si>
  <si>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</si>
  <si>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</si>
  <si>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</si>
  <si>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</si>
  <si>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</si>
  <si>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</si>
  <si>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</si>
  <si>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</si>
  <si>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</si>
  <si>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</si>
  <si>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</si>
  <si>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</si>
  <si>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</si>
  <si>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</si>
  <si>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</si>
  <si>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384</t>
  </si>
  <si>
    <t>385</t>
  </si>
  <si>
    <t>386</t>
  </si>
  <si>
    <t>387</t>
  </si>
  <si>
    <t>388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</si>
  <si>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</si>
  <si>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</si>
  <si>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</si>
  <si>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</si>
  <si>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</si>
  <si>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</si>
  <si>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</si>
  <si>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</si>
  <si>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</si>
  <si>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</si>
  <si>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</si>
  <si>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</si>
  <si>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</si>
  <si>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</si>
  <si>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Обработка слизистой зева</t>
  </si>
  <si>
    <t>Взятие материала на демодекоз</t>
  </si>
  <si>
    <t xml:space="preserve">Зам. главного врача по экономическим вопросам                             В.А. Портной        </t>
  </si>
  <si>
    <t>Материалы (руб.) как число</t>
  </si>
  <si>
    <t>Биохимическое исследование (креатинкиназа)</t>
  </si>
  <si>
    <t>Биохимическое исследование (креатинкиназа МБ)</t>
  </si>
  <si>
    <t>Биохимическое исследование (лактатдегидрогеназа)</t>
  </si>
  <si>
    <t>Биохимическое исследование (альбумин)</t>
  </si>
  <si>
    <t>Биохимическое исследование (лактат)</t>
  </si>
  <si>
    <t>Биохимическое исследование (ненасыщенная железосвязывающая способность)</t>
  </si>
  <si>
    <t>Биохимическое исследование (иммуноглобулин А)</t>
  </si>
  <si>
    <t>Биохимическое исследование (иммуноглобулин G)</t>
  </si>
  <si>
    <t>Биохимическое исследование (иммуноглобулин E)</t>
  </si>
  <si>
    <t xml:space="preserve">Ультразвуковое исследование органов малого таза трансвагинальное (матка+яичники) </t>
  </si>
  <si>
    <t xml:space="preserve">Ультразвуковое исследование органов малого таза абдоминальное (матка+яичники) </t>
  </si>
  <si>
    <t>Ультразвуковое исследование предстательной железы, мочевого пузыря + остаточная моча абдоминальное</t>
  </si>
  <si>
    <t>Ультразвуковое исследование предстательной железы трансректальное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</si>
  <si>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</si>
  <si>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</si>
  <si>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</si>
  <si>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</si>
  <si>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</si>
  <si>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</si>
  <si>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</si>
  <si>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</si>
  <si>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</si>
  <si>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414</t>
  </si>
  <si>
    <t>418</t>
  </si>
  <si>
    <t>423</t>
  </si>
  <si>
    <t>Биохимическое исследование (иммуноглобулин М)</t>
  </si>
  <si>
    <t xml:space="preserve">Определение уровня антител к тиреопероксидазе(АТ-ТПО) </t>
  </si>
  <si>
    <t>Гормональное исследование Т4 свободного (тироксин)</t>
  </si>
  <si>
    <t>Определение уровня онкомаркера ПСА общий (простатический специфический антиген)</t>
  </si>
  <si>
    <t>Определение уровня онкомаркера ПСА свободный (простатический специфический антиген)</t>
  </si>
  <si>
    <t>Гормональное исследование ТТГ (териотропный гормон)</t>
  </si>
  <si>
    <t>Гормональное исследование СТГ (соматотропный гомон)</t>
  </si>
  <si>
    <t>Гормональное исследование Т4 общего (тироксин)</t>
  </si>
  <si>
    <t>Гормональное исследование Т3 общего (трийодтиронин)</t>
  </si>
  <si>
    <t>Гормональное исследование Т3 свободного (трийодтиронин)</t>
  </si>
  <si>
    <t>Гормональное исследование тестостерон</t>
  </si>
  <si>
    <t>Гормональное исследование эстрадиол</t>
  </si>
  <si>
    <t>Гормональное исследование пролактин</t>
  </si>
  <si>
    <t>Гормональное исследование кортизол</t>
  </si>
  <si>
    <t>Определение уровня онкомаркера ферритин</t>
  </si>
  <si>
    <t>Биохимическое исследование (ЛПНП-холестерин)</t>
  </si>
  <si>
    <t>Исследование ТВ (тромбиновое время)</t>
  </si>
  <si>
    <t>361</t>
  </si>
  <si>
    <t>362</t>
  </si>
  <si>
    <t>363</t>
  </si>
  <si>
    <t>365</t>
  </si>
  <si>
    <t>366</t>
  </si>
  <si>
    <t>367</t>
  </si>
  <si>
    <t>368</t>
  </si>
  <si>
    <t>425</t>
  </si>
  <si>
    <t>428</t>
  </si>
  <si>
    <t>429</t>
  </si>
  <si>
    <t>432</t>
  </si>
  <si>
    <t>437</t>
  </si>
  <si>
    <t>438</t>
  </si>
  <si>
    <t>439</t>
  </si>
  <si>
    <t xml:space="preserve"> </t>
  </si>
  <si>
    <t>Соматоформная дисфункция ВНС (вегето-сосудистая дистония ) программа №1 (прием врача, 8 физиопроцедур,8 процедур массажа, 8 процедур рефлексотерапии)</t>
  </si>
  <si>
    <t>Соматоформная дисфункция ВНС (вегето-сосудистая дистония ) программа №2 (прием врача, 8 физиопроцедур,8 процедур массажа)</t>
  </si>
  <si>
    <t>Гипертоническая болезнь I-II ст, дисциркуляторная энцефалопатия, ЦВЗ программа №1 (прием врача, 8 физиопроцедур,8 процедур массажа, 8 процедур рефлексотерапии)</t>
  </si>
  <si>
    <t>Лечение побочных симптомов  при отказе от  курения программа №1 (прием врача, 8 физиопроцедур,8 процедур массажа, 8 процедур рефлексотерапии, 8 занятий ЛФК)</t>
  </si>
  <si>
    <t>Коррекция  нарушений психо-эмоциональной сферы: синдрома «хронической усталости», сезонных расстройств, нарушений сна программа №1 (прием врача, 8 физиопроцедур,5 процедур психотерапии, 8 процедур массажа, 8 процедур рефлексотерапии)</t>
  </si>
  <si>
    <t>Коррекция  нарушений психо-эмоциональной сферы: синдрома «хронической усталости», сезонных расстройств, нарушений сна программа №2 (прием врача, 8 физиопроцедур, 8 процедур рефлексотерапии, 8 процедур аудио-визуальной стимуляции)</t>
  </si>
  <si>
    <t>Остеохондроз шейного, грудного, поясничного отделов : тренинг мышц спины и тела   на системе  тренажеров DAVID BACK CONCEPT (прием врача, 12 занятий по индивидуальной программе)</t>
  </si>
  <si>
    <t>Гипертоническая болезнь I-II ст, дисциркуляторная энцефалопатия, ЦВЗ программа №2 (прием врача, 8 физиопроцедур,8 процедур массажа)</t>
  </si>
  <si>
    <t>Лечение заболеваний кожи (псориаз, нейродермит) (прием врача, 8 физиопроцедур,8 процедур рефлексотерапии)</t>
  </si>
  <si>
    <t>Восстановление после операций на венах нижних конечностей программа №1 (прием врача, 8 физиопроцедур,8 процедур массажа,  8 занятий ЛФК)</t>
  </si>
  <si>
    <t>Восстановление после операций на венах нижних конечностей программа №2 (прием врача, 8 физиопроцедур,8 процедур массажа)</t>
  </si>
  <si>
    <t>Восстановительное лечение  после острой пневмонии, перенесенных вирусных инфекций (прием врача, 8 физиопроцедур,8 процедур массажа,  8 занятий ЛФК)</t>
  </si>
  <si>
    <t>Восстановление после реконструктивных гинекологических операций; в составе программы подготовки к ЭКО программа №1 (прием врача, 8 физиопроцедур,8 процедур массажа,  8 занятий ЛФК)</t>
  </si>
  <si>
    <t>Восстановление после реконструктивных гинекологических операций; в составе программы подготовки к ЭКО программа №2(прием врача, 8 физиопроцедур,8 процедур массажа)</t>
  </si>
  <si>
    <t>Подготовка и пломбирование 1-го дентального канала</t>
  </si>
  <si>
    <t>Контроль веса (уменьшение симптомов пищевой  зависимости,коррекция психо-эмоционального статуса) программа №1 (прием врача, 8 физиопроцедур,8 процедур массажа, 8 процедур рефлексотерапии, 8 занятий ЛФК)</t>
  </si>
  <si>
    <t>Лечение побочных симптомов  при отказе от  курения программа №2 (прием врача, 8 физиопроцедур,8 процедур массажа,  8 занятий ЛФК)</t>
  </si>
  <si>
    <t>Контроль веса (уменьшение симптомов пищевой  зависимости,коррекция психо-эмоционального статуса) программа №2 (прием врача, 8 физиопроцедур,8 процедур массажа, 8 занятий ЛФК)</t>
  </si>
  <si>
    <t>Остеоартроз тазобедренного сустава R ст I-II программа №1 (прием врача, 8 физиопроцедур,8 процедур массажа, 8 процедур мануальной терапии, 8 занятиий ЛФК)</t>
  </si>
  <si>
    <t>Остеоартроз тазобедренного сустава R ст I-II программа №2 (прием врача, 8 физиопроцедур,8 процедур массажа, 8 занятий ЛФК)</t>
  </si>
  <si>
    <t>Остеоартроз коленного сустава     R ст I-II программа №1 (прием врача, 8 физиопроцедур,8 процедур массажа, 8 процедур мануальной терапии, 8 занятиий ЛФК)</t>
  </si>
  <si>
    <t>Остеоартроз коленного сустава     R ст I-II программа №2(прием врача, 8 физиопроцедур,8 процедур массажа)</t>
  </si>
  <si>
    <t>Остеоартроз голеностопного сустава, суставов стопы программа №2 (прием врача, 8 физиопроцедур,8 процедур массажа)</t>
  </si>
  <si>
    <t>Остеоартроз голеностопного сустава, суставов стопы программа №1 (прием врача, 8 физиопроцедур,8 процедур массажа, 8 процедур мануальной терапии, 8 занятиий ЛФК)</t>
  </si>
  <si>
    <t>Остеоартроз плечевого сустава (R ст  I-II) программа №1 (прием врача, 8 физиопроцедур,8 процедур массажа, 8 процедур мануальной терапии, 8 занятиий ЛФК)</t>
  </si>
  <si>
    <t>Остеоартроз плечевого сустава (R ст  I-II) программа №2 (прием врача, 8 физиопроцедур,8 процедур массажа)</t>
  </si>
  <si>
    <t>Остеоартроз локтевого сустава (R стадия I-II) программа №2 (прием врача, 8 физиопроцедур,8 процедур массажа, 8 процедур механотерапии)</t>
  </si>
  <si>
    <t>Остеоартроз локтевого сустава (R стадия I-II) программа №1 (прием врача, 8 физиопроцедур,8 процедур массажа, 8 процедур мануальной терапии, 8 занятиий ЛФК)</t>
  </si>
  <si>
    <t>Остеоартроз лучезапястного сустава программа №1 (прием врача, 8 физиопроцедур,8 процедур массажа, 8 процедур мануальной терапии, 8 занятиий ЛФК)</t>
  </si>
  <si>
    <t>Остеоартроз лучезапястного сустава  программа №2 (прием врача, 8 физиопроцедур,8 процедур массажа)</t>
  </si>
  <si>
    <t>Остеоартроз суставов кисти программа №1( прием врача, 8 физиопроцедур,8 процедур массажа, 8 процедур мануальной терапии, 8 занятиий ЛФК)</t>
  </si>
  <si>
    <t>Остеоартроз суставов кисти программа №2 (прием врача, 8 физиопроцедур, 8 процедур парафинотерапии, 8 занятиий ЛФК)</t>
  </si>
  <si>
    <t>Шейный отдел программа №1 (прием врача, 8 физиопроцедур,8 процедур массажа, 8 процедур рефлексотерапии, 8 занятий ЛФК)</t>
  </si>
  <si>
    <t>Шейный отдел программа №2 (прием врача, 8 физиопроцедур,8 процедур массажа, 8 занятий ЛФК)</t>
  </si>
  <si>
    <t>Шейный отдел программа №3 (прием врача,  8 процедур мануальной терапии, 8 занятий ЛФК)</t>
  </si>
  <si>
    <t>Шейный отдел программа №4 (прием врача, 8 процедур мануальной терапии, 8 процедур рефлексотерапии)</t>
  </si>
  <si>
    <t>Поясничный отдел программа №1 (прием врача, 8 физиопроцедур,8 процедур массажа, 8 процедур рефлексотерапии, 8 занятий ЛФК)</t>
  </si>
  <si>
    <t>Поясничный отдел программа №2 (прием врача, 8 физиопроцедур,8 процедур массажа, 8 занятий ЛФК)</t>
  </si>
  <si>
    <t>Поясничный отдел программа №3 (прием врача,  8 процедур мануальной терапии, 8 занятий ЛФК)</t>
  </si>
  <si>
    <t>Поясничный отдел программа №4 (прием врача, ,8 процедур мануальной терапии, 8 процедур рефлексотерапии)</t>
  </si>
  <si>
    <t>Поясничный отдел программа №5 (прием врача, 8 процедур мануальной терапии)</t>
  </si>
  <si>
    <t>Грудной отдел программа №1 (прием врача, 8 физиопроцедур,8 процедур массажа, 8 процедур рефлексотерапии, 8 занятий ЛФК)</t>
  </si>
  <si>
    <t>Грудной отдел программа №2 (прием врача, 8 физиопроцедур,8 процедур массажа,   8 занятий ЛФК)</t>
  </si>
  <si>
    <t>Грудной отдел программа №3 (прием врача,  8 процедур мануальной терапии, 8 занятий ЛФК)</t>
  </si>
  <si>
    <t>Грудной отдел программа №4 (прием врача, 8 процедур мануальной терапии, 8 процедур рефлексотерапии)</t>
  </si>
  <si>
    <t>106</t>
  </si>
  <si>
    <t>107</t>
  </si>
  <si>
    <t>Биохимическое исследование (билирубин общий)</t>
  </si>
  <si>
    <t>Биохимическое исследование (билирубин прямой)</t>
  </si>
  <si>
    <t>Биохимическое исследование (кальций ионизированный)</t>
  </si>
  <si>
    <t>Биохимическое исследование (натрий)</t>
  </si>
  <si>
    <t>Биохимическое исследование (хлор)</t>
  </si>
  <si>
    <t>Консультация врача функциональной диагностики по результатам проведенных исследований</t>
  </si>
  <si>
    <t>Электрокардиография без описания (перед проведением холтеровского мониторирования)</t>
  </si>
  <si>
    <t>Комплексное ультразвуковое исследование органов брюшной полости (печень, желчный пузырь,поджелудочная железа, селезенка)</t>
  </si>
  <si>
    <t xml:space="preserve">Комплексное ультразвуковое исследование органов брюшной полости + почек </t>
  </si>
  <si>
    <t xml:space="preserve">Комплексное ультразвуковое исследование мочеполовой системы у мужчин (почки, мочевой пузырь, предстательная железа) </t>
  </si>
  <si>
    <t>Ультразвуковое исследование молочных желез у мужчин</t>
  </si>
  <si>
    <t>Массаж аппаратный</t>
  </si>
  <si>
    <r>
      <t xml:space="preserve">Прием специалиста при </t>
    </r>
    <r>
      <rPr>
        <b/>
        <sz val="12"/>
        <rFont val="Arial Cyr"/>
        <charset val="204"/>
      </rPr>
      <t>профилактическом осмотре</t>
    </r>
    <r>
      <rPr>
        <sz val="12"/>
        <rFont val="Arial Cyr"/>
        <charset val="204"/>
      </rPr>
      <t xml:space="preserve"> (терапевт, дерматолог, кардиолог, эндокринолог, психиатр, невролог, травматолог-ортопед, уролог, хирург, гинеколог, отоларинголог, офтальмолог,  стоматолог)</t>
    </r>
  </si>
  <si>
    <r>
      <t xml:space="preserve">Прием специалиста при </t>
    </r>
    <r>
      <rPr>
        <b/>
        <sz val="12"/>
        <rFont val="Arial Cyr"/>
        <charset val="204"/>
      </rPr>
      <t>медицинском осмотре</t>
    </r>
    <r>
      <rPr>
        <sz val="12"/>
        <rFont val="Arial Cyr"/>
        <charset val="204"/>
      </rPr>
      <t xml:space="preserve"> (терапевт, дерматолог, кардиолог, эндокринолог, психиатр, невролог, травматолог-ортопед, уролог, хирург, гинеколог,отоларинголог, офтальмолог, стоматолог)</t>
    </r>
  </si>
  <si>
    <t>Подбор очков (простых, астигматических)</t>
  </si>
  <si>
    <t>Взятие мазков из коньюнктивальной области на микрофлору и чувствительность к антибиотикам</t>
  </si>
  <si>
    <t>Массаж век (один глаз)</t>
  </si>
  <si>
    <t xml:space="preserve">Удаление новообразований </t>
  </si>
  <si>
    <t>002</t>
  </si>
  <si>
    <t>004</t>
  </si>
  <si>
    <t>006</t>
  </si>
  <si>
    <t>008</t>
  </si>
  <si>
    <t>010</t>
  </si>
  <si>
    <t>012</t>
  </si>
  <si>
    <t>014</t>
  </si>
  <si>
    <t>016</t>
  </si>
  <si>
    <t>018</t>
  </si>
  <si>
    <t>020</t>
  </si>
  <si>
    <t>022</t>
  </si>
  <si>
    <t>059</t>
  </si>
  <si>
    <t>060</t>
  </si>
  <si>
    <t>061</t>
  </si>
  <si>
    <t>089</t>
  </si>
  <si>
    <t>095</t>
  </si>
  <si>
    <t>111</t>
  </si>
  <si>
    <t>219</t>
  </si>
  <si>
    <t>329</t>
  </si>
  <si>
    <t>364</t>
  </si>
  <si>
    <t>413</t>
  </si>
  <si>
    <t>415</t>
  </si>
  <si>
    <t>416</t>
  </si>
  <si>
    <t>417</t>
  </si>
  <si>
    <t>419</t>
  </si>
  <si>
    <t>420</t>
  </si>
  <si>
    <t>421</t>
  </si>
  <si>
    <t>422</t>
  </si>
  <si>
    <t>424</t>
  </si>
  <si>
    <t>426</t>
  </si>
  <si>
    <t>427</t>
  </si>
  <si>
    <t>430</t>
  </si>
  <si>
    <t>431</t>
  </si>
  <si>
    <t>434</t>
  </si>
  <si>
    <t>435</t>
  </si>
  <si>
    <t>436</t>
  </si>
  <si>
    <r>
      <t xml:space="preserve">                                                                                                                                                                                                                  платных услуг и тарифов, оказываемых в КГБУЗ "Клинический центр восстановительной медицины и реабилитации" сверх объемов гарантированной бесплатной медицинской помощи и медицинских стандартов</t>
    </r>
    <r>
      <rPr>
        <sz val="14"/>
        <rFont val="Arial Cyr"/>
        <charset val="204"/>
      </rPr>
      <t xml:space="preserve"> вступает в силу с </t>
    </r>
    <r>
      <rPr>
        <u/>
        <sz val="14"/>
        <color indexed="10"/>
        <rFont val="Arial Cyr"/>
        <charset val="204"/>
      </rPr>
      <t>01.08.2017</t>
    </r>
  </si>
  <si>
    <t>действующ цена 2017</t>
  </si>
  <si>
    <r>
      <rPr>
        <b/>
        <sz val="14"/>
        <rFont val="Arial Cyr"/>
        <charset val="204"/>
      </rPr>
      <t xml:space="preserve">УТВЕРЖДАЮ       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      Главный врач                                                                                                                                                                                                                                                                  КГБУЗ "Клинический центр                                                           восстановительной                                                                                                                                                                медицины и реабилитации"                                                                                                                                                                                                        __________________М.Н. Багаткин                                                                                                                                                                     "____" ___________ 2018 г.</t>
    </r>
  </si>
  <si>
    <t>Гормональное исследование ЛГ (лютеинизирующий гормон)</t>
  </si>
  <si>
    <t>Гормональное исследование ФГ (фолликулостимулирующий гормон)</t>
  </si>
  <si>
    <t>Гормональное исследование прогестерон</t>
  </si>
  <si>
    <t>Инъекции под коньюнктиву и парабульбарно, под кожу висков</t>
  </si>
  <si>
    <t>Эндовазальное лазерное воздействие  (1 процедура)</t>
  </si>
  <si>
    <t>Криотерапия аппаратная локальная (1 процедура до 10 минут)</t>
  </si>
  <si>
    <t>Магнитостимуляция нерва (1конечность)</t>
  </si>
  <si>
    <t xml:space="preserve">Магнитостимуляция нерва (2 конечности) </t>
  </si>
  <si>
    <t>Хромотерапия общая (капсула) (1 сеанс)</t>
  </si>
  <si>
    <t>Гидромассаж бесконтактный (ВЕЛЛНЕС) (1 процедура)</t>
  </si>
  <si>
    <t>Гидромассаж аппаратный программный (КАРАКАЛЛА) (1 процедура)</t>
  </si>
  <si>
    <t xml:space="preserve">Механотерапия лечебная (1 занятие) </t>
  </si>
  <si>
    <t>Механотерапия блоковая (Кроссовер) (1 сеанс)</t>
  </si>
  <si>
    <t>176</t>
  </si>
  <si>
    <t>178</t>
  </si>
  <si>
    <t>179</t>
  </si>
  <si>
    <t>180</t>
  </si>
  <si>
    <t>186</t>
  </si>
  <si>
    <t>208</t>
  </si>
  <si>
    <t>211</t>
  </si>
  <si>
    <t>216</t>
  </si>
  <si>
    <t>217</t>
  </si>
  <si>
    <t>302</t>
  </si>
  <si>
    <t>303</t>
  </si>
  <si>
    <t>305</t>
  </si>
  <si>
    <t>310</t>
  </si>
  <si>
    <t>314</t>
  </si>
  <si>
    <t>316</t>
  </si>
  <si>
    <t>326</t>
  </si>
  <si>
    <t>328</t>
  </si>
  <si>
    <t>330</t>
  </si>
  <si>
    <t>334</t>
  </si>
  <si>
    <t>336</t>
  </si>
  <si>
    <t>338</t>
  </si>
  <si>
    <t>348</t>
  </si>
  <si>
    <t>383</t>
  </si>
  <si>
    <t>389</t>
  </si>
  <si>
    <t>433</t>
  </si>
  <si>
    <t>Нормоксическая баротерапия</t>
  </si>
  <si>
    <t>440</t>
  </si>
  <si>
    <t>Наименование услуг по номенклатуре</t>
  </si>
  <si>
    <t>Прием (осмотр, консультация) врача - терапевта первичный</t>
  </si>
  <si>
    <t>Прием (осмотр, консультация) врача - терапевта повторный</t>
  </si>
  <si>
    <t>Прием (осмотр, консультация) врача - дерматовенеролога первичный</t>
  </si>
  <si>
    <t>Прием (осмотр, консультация) врача - дерматовенеролога повторный</t>
  </si>
  <si>
    <t>Прием (осмотр, консультация) врача - кардиолога первичный</t>
  </si>
  <si>
    <t>Прием (осмотр, консультация) врача - кардиолога повторный</t>
  </si>
  <si>
    <t>Прием (осмотр, консультация) врача ревматолога повторный</t>
  </si>
  <si>
    <t>Прием (осмотр, консультация) врача - эндокринолога первичный</t>
  </si>
  <si>
    <t>Прием (осмотр, консультация) врача - эндокринолога повторный</t>
  </si>
  <si>
    <t>Прием (осмотр, консультация) врача ревматолога первичный</t>
  </si>
  <si>
    <t>Код услуги</t>
  </si>
  <si>
    <t>Прием (осмотр, консультация) врача - невролога первичный</t>
  </si>
  <si>
    <t>Прием (осмотр, консультация) врача - невролога повторный</t>
  </si>
  <si>
    <t>Прием (осмотр, консультация) врача - уролога первичный</t>
  </si>
  <si>
    <t>Прием (осмотр, консультация) врача - уролога повторный</t>
  </si>
  <si>
    <t>Прием (осмотр, консультация) врача - хирурга первичный</t>
  </si>
  <si>
    <t>Прием (осмотр, консультация) врача - хирурга повторный</t>
  </si>
  <si>
    <t>Прием (осмотр, консультация) врача - акушера - гинеколога первичный</t>
  </si>
  <si>
    <t>Прием (осмотр, консультация) врача - акушера - гинеколога повторный</t>
  </si>
  <si>
    <t>Прием (осмотр, консультация) врача - оториноларинголога первичный</t>
  </si>
  <si>
    <t>Прием (осмотр, консультация) врача - оториноларинголога повторный</t>
  </si>
  <si>
    <t>Прием (осмотр, консультация) врача - офтальмолога первичный</t>
  </si>
  <si>
    <t>Прием (осмотр, консультация) врача - офтальмолога повторный</t>
  </si>
  <si>
    <r>
      <t>Прием (осмотр, консультация) врача гастроэнтеролога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первичный </t>
    </r>
  </si>
  <si>
    <r>
      <t>Прием (осмотр, консультация) врача гастроэнтеролога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повторный </t>
    </r>
  </si>
  <si>
    <t>Профилактический прием (осмотр, консультация) врача терапевта</t>
  </si>
  <si>
    <t>Профилактический прием (осмотр, консультация) врача дерматовенеролога</t>
  </si>
  <si>
    <t>Профилактический прием (осмотр, консультация) врача психиатра</t>
  </si>
  <si>
    <t>Профилактический прием (осмотр, консультация) врача невролога</t>
  </si>
  <si>
    <t>Профилактический прием (осмотр, консультация) врача травматолога - ортопеда</t>
  </si>
  <si>
    <t>Профилактический прием (осмотр, консультация) врача уролога</t>
  </si>
  <si>
    <t>Профилактический прием (осмотр, консультация) врача акушера - гинеколога</t>
  </si>
  <si>
    <t>Профилактический прием (осмотр, консультация) врача оториноларинголога</t>
  </si>
  <si>
    <t>Профилактический прием (осмотр, консультация) врача офтальмолога</t>
  </si>
  <si>
    <t>Профилактический прием (осмотр, консультация) врача хирурга</t>
  </si>
  <si>
    <t>Профилактический прием (осмотр, консультация) врача - профпатолога</t>
  </si>
  <si>
    <t>Профилактический прием (осмотр, консультация) врача - педиатра</t>
  </si>
  <si>
    <t>Профилактический осмотр работников, связанных со зрительно-напряженным трудом (осмотр, консультация врача офтальмолога)</t>
  </si>
  <si>
    <t>Прием (осмотр, консультация) врача по медицинской профилактике первичный (предрейсовый осмотр (1 день)</t>
  </si>
  <si>
    <t>Соскоб кожи</t>
  </si>
  <si>
    <t>Внутривенное введение лекарственных препаратов</t>
  </si>
  <si>
    <t>Внутримышечная  инъекция</t>
  </si>
  <si>
    <t>Подкожная инъекция</t>
  </si>
  <si>
    <t>Непрерывное внутривенное введение лекарственных препаратов</t>
  </si>
  <si>
    <t>Антропометрические исследования</t>
  </si>
  <si>
    <t>Взятие крови из периферической вены</t>
  </si>
  <si>
    <t>Измерение артериального давления на периферических артериях</t>
  </si>
  <si>
    <t>Определение динамической силы одной мышцы (динамометрия)</t>
  </si>
  <si>
    <t>A02.02.005</t>
  </si>
  <si>
    <t xml:space="preserve">Вибрационное воздействие (определение вибрационной чувствительности с помощью камертона) </t>
  </si>
  <si>
    <t>Замена цистостомического дренажа</t>
  </si>
  <si>
    <t>Получение уретрального отделяемого (взятие мазков на ГН и флору, секрета простаты, ПЦР)</t>
  </si>
  <si>
    <t>Массаж простаты</t>
  </si>
  <si>
    <t>Катетеризация мочевого пузыря</t>
  </si>
  <si>
    <t>Удаление доброкачественных новообразований кожи методом электрокоагуляции</t>
  </si>
  <si>
    <t>Удаление полипа уретры</t>
  </si>
  <si>
    <t>A16.28.086</t>
  </si>
  <si>
    <t>Трансуретральное удаление кандилом уретры</t>
  </si>
  <si>
    <t>A16.28.086.001</t>
  </si>
  <si>
    <t>Инстилляция мочевого пузыря</t>
  </si>
  <si>
    <t>Инстилляция уретры</t>
  </si>
  <si>
    <t>Урофлоуметрия (измерение скорости потока мочи)</t>
  </si>
  <si>
    <t>Назначение лекарственных препаратов при заболеваниях желез внутренней секреции (гормональная коррекция, лечение бесплодия)</t>
  </si>
  <si>
    <t>Пункция мягких тканей</t>
  </si>
  <si>
    <t>Пункция синовиальной сумки сустава</t>
  </si>
  <si>
    <t>A11.04.005</t>
  </si>
  <si>
    <t>Околосуставное введение лекарственных препаратов (бокада параартикулярная)</t>
  </si>
  <si>
    <t>A11.04.006</t>
  </si>
  <si>
    <t>Удаление доброкачественных новообразований кожи</t>
  </si>
  <si>
    <t>Удаление вросшего ногтя (удаление ногтевых пластинок)</t>
  </si>
  <si>
    <t>Получение отделяемого из соска молочной железы</t>
  </si>
  <si>
    <t>Хирургическая обработка раны или инфицированной ткани</t>
  </si>
  <si>
    <t>Удаление доброкачественных новообразований кожи (удаление папилломы до 3-х штук аппаратом "Сургитрон")</t>
  </si>
  <si>
    <t>Удаление звездчатой ангиомы</t>
  </si>
  <si>
    <t>A16.01.014</t>
  </si>
  <si>
    <t>Удаление телеангиоэктазий</t>
  </si>
  <si>
    <t>A16.01.015</t>
  </si>
  <si>
    <t>Вскрытие и дренирование флегмоны (абсцесса)</t>
  </si>
  <si>
    <t>Удаление атеромы</t>
  </si>
  <si>
    <t xml:space="preserve">Удаление повехностно расположенного инородного тела </t>
  </si>
  <si>
    <t>Проведение пробы с лекарственными препаратами (проба на лидокаин)</t>
  </si>
  <si>
    <t>A12.26.012</t>
  </si>
  <si>
    <t xml:space="preserve">Получение влагалищного мазка </t>
  </si>
  <si>
    <t xml:space="preserve">A11.20.005 </t>
  </si>
  <si>
    <t>Получение цервикального мазка</t>
  </si>
  <si>
    <t>A11.20.002</t>
  </si>
  <si>
    <t>Продувание слуховой трубы по Политцеру (с одной стороны)</t>
  </si>
  <si>
    <t>Вестибулометрия (исследование функции вестибулярного анализатора - вращательная проба)</t>
  </si>
  <si>
    <t>A03.25.001</t>
  </si>
  <si>
    <t>Промывание среднего уха (с одной стороны)</t>
  </si>
  <si>
    <t xml:space="preserve">Введение лекарственных препаратов в наружный слуховой проход </t>
  </si>
  <si>
    <t xml:space="preserve">A11.25.002 </t>
  </si>
  <si>
    <t>Тональная аудиометрия</t>
  </si>
  <si>
    <t>Речевая аудиометрия</t>
  </si>
  <si>
    <t>Эндоларенгиальное введение лекарственных препаратов</t>
  </si>
  <si>
    <t>Удаление ушной серы</t>
  </si>
  <si>
    <t>Массаж барабанных перепонок  (с одной стороны)</t>
  </si>
  <si>
    <t>Получение мазков со слизистой оболочки носоглотки</t>
  </si>
  <si>
    <t>A11.08.010.001</t>
  </si>
  <si>
    <t>Получение мазков со слизистой оболочки ротоглотки</t>
  </si>
  <si>
    <t>A11.08.010.002</t>
  </si>
  <si>
    <t>Зондирование слезно носового канала</t>
  </si>
  <si>
    <t>Подбор очковой коррекции зрения (подбор очков простых и астигматических)</t>
  </si>
  <si>
    <t>Периметрия статическая</t>
  </si>
  <si>
    <t xml:space="preserve">Пара - и ретробульбарные инъекции </t>
  </si>
  <si>
    <t>Субконъюктивальная инъекция</t>
  </si>
  <si>
    <t>Получение мазка содержимого конъюктивальной полости и слезоотводящих путей</t>
  </si>
  <si>
    <t>Электростимуляция зрительного нерва</t>
  </si>
  <si>
    <t>A17.26.003</t>
  </si>
  <si>
    <t>Медицинский массаж век (один глаз)</t>
  </si>
  <si>
    <t>Осмотр полости рта с помощью дополнительных инструментов</t>
  </si>
  <si>
    <t>Анестезия (проводниковая)</t>
  </si>
  <si>
    <t>Анестезия (инфильтрационная)</t>
  </si>
  <si>
    <t>Восстановление зуба пломбой (наложение пломбы при глубоком кариесе (лечебная прокладка)</t>
  </si>
  <si>
    <t>Распломбирование корневого канала ранее леченного пастой (1-го)</t>
  </si>
  <si>
    <t>Распломбирование корневого канала ранее леченного пастой (2-х)</t>
  </si>
  <si>
    <t>Распломбирование корневого канала ранее леченного пастой (3-х)</t>
  </si>
  <si>
    <t>Восстановление зуба пломбировочными материалами с использованием анкерных штифтов (восстановление разрушенной коронки с помощью проволочного каркаса (анкер)</t>
  </si>
  <si>
    <t>Снятие временной пломбы</t>
  </si>
  <si>
    <t>Удаление наддесневых и поддесневых зубных отложений (скейлинг (2 челюсти), профилактическая чистка, обработка 2 челюсти фторсодержащим гелем)</t>
  </si>
  <si>
    <t>Удаление наддесневых и поддесневых зубных отложений (скейлинг (1 челюсти), профилактическая чистка, обработка 1 челюсти фторсодержащим гелем)</t>
  </si>
  <si>
    <t>Запечатывание фиссуры зуба герметиком (покрытие фиссур 1-го зуба герметиком)</t>
  </si>
  <si>
    <t>Инструментальная и медикаментозная обработка корневого канала (подготовка и пломбирование 1-го дентального канала)</t>
  </si>
  <si>
    <t>Удаление зуба (интактного)</t>
  </si>
  <si>
    <t>Временное пломбирование лекарственным препаратом корневого канала (лечение осложненного кариеса импортным препаратом)</t>
  </si>
  <si>
    <t>Избирательное полирование зуба (использование импортных полировочных наборов)</t>
  </si>
  <si>
    <t>Местное применение реминерализующих препаратов в области зуба (профилактическое средство при гиперчувствительности (1 зуб)</t>
  </si>
  <si>
    <t>Наложение временной пломбы</t>
  </si>
  <si>
    <t>Местная анестезия</t>
  </si>
  <si>
    <t>Прием (осмотр, консультация) врача стоматолога  детского первичный</t>
  </si>
  <si>
    <t>Прием (осмотр, консультация) врача стоматолога  детского повторный</t>
  </si>
  <si>
    <t>Прием (осмотр, консультация) врача стоматолога  терапевта первичный</t>
  </si>
  <si>
    <t>Прием (осмотр, консультация) врача стоматолога  терапевта повторный</t>
  </si>
  <si>
    <t>Профилактический прием (осмотр, консультация) врача стоматолога детского</t>
  </si>
  <si>
    <t>Исследование мочи методом Зимницкого</t>
  </si>
  <si>
    <t>B03.016.015</t>
  </si>
  <si>
    <t>Исследование мочи методом Нечипоренко</t>
  </si>
  <si>
    <t>B03.016.014</t>
  </si>
  <si>
    <t>Определение альбумина в моче</t>
  </si>
  <si>
    <t>A09.28.003.001</t>
  </si>
  <si>
    <t>Общий (клинический) анализ мочи</t>
  </si>
  <si>
    <t>B03.016.006</t>
  </si>
  <si>
    <t>Исследование уровня глюкозы в моче</t>
  </si>
  <si>
    <t>A09.28.011</t>
  </si>
  <si>
    <t>Обнаружение кетоновых тел в моче экспресс-методом</t>
  </si>
  <si>
    <t>A09.28.015.001</t>
  </si>
  <si>
    <t>Определение количества белка в суточной моче</t>
  </si>
  <si>
    <t>A09.28.003.002</t>
  </si>
  <si>
    <t>Микроскопическое исследование соскоба с кожи на клещей</t>
  </si>
  <si>
    <t>A26.01.018</t>
  </si>
  <si>
    <t>Микроскопическое исследование отделяемого из ротоглотки</t>
  </si>
  <si>
    <t>A12.07.007</t>
  </si>
  <si>
    <t>Цитологическое исследование отделяемого верхних дыхательных путей и отпечатков</t>
  </si>
  <si>
    <t>A08.08.002</t>
  </si>
  <si>
    <t>Общий (клинический) анализ крови развернутый</t>
  </si>
  <si>
    <t>B03.016.003</t>
  </si>
  <si>
    <t>Исследование уровня тромбоцитов в крови</t>
  </si>
  <si>
    <t>A12.05.120</t>
  </si>
  <si>
    <t>Исследование скорости оседания эритроцитов</t>
  </si>
  <si>
    <t>A12.05.001</t>
  </si>
  <si>
    <t>Исследование уровня ретикулоцитов в крови</t>
  </si>
  <si>
    <t>A12.05.123</t>
  </si>
  <si>
    <t>Микроскопия крови на обнаружение LE-клеток</t>
  </si>
  <si>
    <t>A12.06.003</t>
  </si>
  <si>
    <t>Просмотр мазка крови для анализа аномалий морфологии эритроцитов, тромбоцитов и лейкоцитов</t>
  </si>
  <si>
    <t>A12.05.122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</si>
  <si>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</si>
  <si>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A26.06.082.001</t>
  </si>
  <si>
    <t>Исследование времени кровотечения</t>
  </si>
  <si>
    <t>A12.05.015</t>
  </si>
  <si>
    <t>Исследование времени свертывания нестабилизированной крови или рекальцификации плазмы неактивированное</t>
  </si>
  <si>
    <t>A12.05.014</t>
  </si>
  <si>
    <t>Микроскопическое исследование "толстой капли" и "тонкого" мазка крови на малярийные плазмодии</t>
  </si>
  <si>
    <t>A26.05.009</t>
  </si>
  <si>
    <t>Микроскопическое исследование отделяемого из уретры</t>
  </si>
  <si>
    <t>A12.28.015</t>
  </si>
  <si>
    <t>Микроскопическое исследование уретрального отделяемого и сока простаты</t>
  </si>
  <si>
    <t>A12.21.003</t>
  </si>
  <si>
    <t>Микроскопическое исследование влагалищных мазков</t>
  </si>
  <si>
    <t>A12.20.001</t>
  </si>
  <si>
    <t>Цитологическое исследование микропрепарата тканей влагалища</t>
  </si>
  <si>
    <t>A08.20.012</t>
  </si>
  <si>
    <t>Цитологическое исследование микропрепарата шейки матки</t>
  </si>
  <si>
    <t>A08.20.017</t>
  </si>
  <si>
    <t>Цитологическое исследование отделяемого из соска молочной железы</t>
  </si>
  <si>
    <t>A08.20.019</t>
  </si>
  <si>
    <t>Исследование уровня общего билирубина в крови</t>
  </si>
  <si>
    <t>A09.05.021</t>
  </si>
  <si>
    <t>Исследование уровня билирубина связанного (конъюгированного) в крови</t>
  </si>
  <si>
    <t>A09.05.022.001</t>
  </si>
  <si>
    <t>Определение активности аланинаминотрансферазы в крови</t>
  </si>
  <si>
    <t>A09.05.042</t>
  </si>
  <si>
    <t>Определение активности аспартатаминотрансферазы в крови</t>
  </si>
  <si>
    <t>A09.05.041</t>
  </si>
  <si>
    <t>Исследование уровня мочевины в крови</t>
  </si>
  <si>
    <t>A09.05.017</t>
  </si>
  <si>
    <t>Исследование уровня креатинина в крови</t>
  </si>
  <si>
    <t>A09.05.020</t>
  </si>
  <si>
    <t>Исследование уровня общего белка в крови</t>
  </si>
  <si>
    <t>A09.05.010</t>
  </si>
  <si>
    <t>Исследование уровня C-реактивного белка в сыворотке крови</t>
  </si>
  <si>
    <t>A09.05.009</t>
  </si>
  <si>
    <t>Определение содержания ревматоидного фактора в крови</t>
  </si>
  <si>
    <t>A12.06.019</t>
  </si>
  <si>
    <t>Определение активности амилазы в крови</t>
  </si>
  <si>
    <t>A09.05.045</t>
  </si>
  <si>
    <t>Исследование уровня холестерина в крови</t>
  </si>
  <si>
    <t>A09.05.026</t>
  </si>
  <si>
    <t>Исследование уровня холестерина липопротеинов высокой плотности в крови</t>
  </si>
  <si>
    <t>A09.05.004</t>
  </si>
  <si>
    <t>Исследование уровня холестерина липопротеинов низкой плотности</t>
  </si>
  <si>
    <t>A09.05.028</t>
  </si>
  <si>
    <t>Исследование уровня триглицеридов в крови</t>
  </si>
  <si>
    <t>A09.05.025</t>
  </si>
  <si>
    <t>Определение активности щелочной фосфатазы в крови</t>
  </si>
  <si>
    <t>A09.05.046</t>
  </si>
  <si>
    <t>Определение активности гамма-глютамилтрансферазы в крови</t>
  </si>
  <si>
    <t>A09.05.044</t>
  </si>
  <si>
    <t>Исследование уровня общего кальция в крови</t>
  </si>
  <si>
    <t>A09.05.032</t>
  </si>
  <si>
    <t>Исследование уровня железа сыворотки крови</t>
  </si>
  <si>
    <t>A09.28.067</t>
  </si>
  <si>
    <t>Исследование уровня общего магния в сыворотке крови</t>
  </si>
  <si>
    <t>A09.05.127</t>
  </si>
  <si>
    <t>Исследование уровня неорганического фосфора в крови</t>
  </si>
  <si>
    <t>A09.05.033</t>
  </si>
  <si>
    <t>Исследование уровня мочевой кислоты в крови</t>
  </si>
  <si>
    <t>A09.05.018</t>
  </si>
  <si>
    <t>Исследование уровня глюкозы в крови</t>
  </si>
  <si>
    <t>A09.05.023</t>
  </si>
  <si>
    <t>Исследование уровня гликированного гемоглобина в крови</t>
  </si>
  <si>
    <t>A09.05.083</t>
  </si>
  <si>
    <t>Определение активности креатинкиназы в крови</t>
  </si>
  <si>
    <t>A09.05.043</t>
  </si>
  <si>
    <t>Исследование уровня/активности изоферментов креатинкиназы в крови</t>
  </si>
  <si>
    <t>A09.05.177</t>
  </si>
  <si>
    <t>Определение активности лактатдегидрогеназы в крови</t>
  </si>
  <si>
    <t>A09.05.039</t>
  </si>
  <si>
    <t>Исследование уровня альбумина в крови</t>
  </si>
  <si>
    <t>A09.05.011</t>
  </si>
  <si>
    <t>Исследование уровня молочной кислоты в крови</t>
  </si>
  <si>
    <t>A09.05.207</t>
  </si>
  <si>
    <t>Исследование железосвязывающей способности сыворотки</t>
  </si>
  <si>
    <t>A12.05.011</t>
  </si>
  <si>
    <t>Исследование уровня иммуноглобулина A в крови</t>
  </si>
  <si>
    <t>A09.05.054.002</t>
  </si>
  <si>
    <t>Исследование уровня иммуноглобулина G в крови</t>
  </si>
  <si>
    <t>A09.05.054.004</t>
  </si>
  <si>
    <t>Исследование уровня иммуноглобулина M в крови</t>
  </si>
  <si>
    <t>A09.05.054.003</t>
  </si>
  <si>
    <t>Исследование уровня общего иммуноглобулина E в крови</t>
  </si>
  <si>
    <t>A09.05.054.001</t>
  </si>
  <si>
    <t>Проведение глюкозотолерантного теста</t>
  </si>
  <si>
    <t>A12.22.005</t>
  </si>
  <si>
    <t>Исследование уровня миоглобина в крови</t>
  </si>
  <si>
    <t>A09.05.006</t>
  </si>
  <si>
    <t>Определение активности липазы в сыворотке крови</t>
  </si>
  <si>
    <t>A09.05.173</t>
  </si>
  <si>
    <t>Исследование уровня ферритина в крови</t>
  </si>
  <si>
    <t>A09.05.076</t>
  </si>
  <si>
    <t>Исследование уровня ионизированного кальция в крови</t>
  </si>
  <si>
    <t>A09.05.206</t>
  </si>
  <si>
    <t>Исследование уровня калия в крови</t>
  </si>
  <si>
    <t>A09.05.031</t>
  </si>
  <si>
    <t>Исследование уровня натрия в крови</t>
  </si>
  <si>
    <t>A09.05.030</t>
  </si>
  <si>
    <t>Исследование уровня хлоридов в крови</t>
  </si>
  <si>
    <t>A09.05.034</t>
  </si>
  <si>
    <t>Исследование уровня водородных ионов (pH) крови</t>
  </si>
  <si>
    <t>A09.05.037</t>
  </si>
  <si>
    <t>Исследование уровня мочевины в моче</t>
  </si>
  <si>
    <t>A09.28.009</t>
  </si>
  <si>
    <t>Исследование уровня креатинина в моче</t>
  </si>
  <si>
    <t>A09.28.006</t>
  </si>
  <si>
    <t>Определение активности альфа-амилазы в моче</t>
  </si>
  <si>
    <t>A09.28.027</t>
  </si>
  <si>
    <t>Исследование уровня калия в моче</t>
  </si>
  <si>
    <t>A09.28.013</t>
  </si>
  <si>
    <t>Исследование уровня натрия в моче</t>
  </si>
  <si>
    <t>A09.28.014</t>
  </si>
  <si>
    <t>Исследование уровня хлоридов в моче</t>
  </si>
  <si>
    <t>A09.05.003</t>
  </si>
  <si>
    <t>Исследование уровня мочевой кислоты в моче</t>
  </si>
  <si>
    <t>A09.28.010</t>
  </si>
  <si>
    <t>Исследование уровня фибриногена в крови</t>
  </si>
  <si>
    <t>A09.05.050</t>
  </si>
  <si>
    <t>Определение протромбинового (тромбопластинового) времени в крови или в плазме</t>
  </si>
  <si>
    <t>A12.05.027</t>
  </si>
  <si>
    <t>Определение международного нормализованного отношения (МНО)</t>
  </si>
  <si>
    <t>A12.30.014</t>
  </si>
  <si>
    <t>Определение тромбинового времени в крови</t>
  </si>
  <si>
    <t>A12.05.028</t>
  </si>
  <si>
    <t>Активированное частичное тромбопластиновое время</t>
  </si>
  <si>
    <t>A12.05.039</t>
  </si>
  <si>
    <t>Исследование уровня тиреотропного гормона (ТТГ) в крови</t>
  </si>
  <si>
    <t>A09.05.065</t>
  </si>
  <si>
    <t>Исследование уровня общего трийодтиронина (Т3) в крови</t>
  </si>
  <si>
    <t>A09.05.060</t>
  </si>
  <si>
    <t>Исследование уровня свободного трийодтиронина (СТ3) в крови</t>
  </si>
  <si>
    <t>A09.05.061</t>
  </si>
  <si>
    <t>Исследование уровня общего тироксина (Т4) сыворотки крови</t>
  </si>
  <si>
    <t>A09.05.064</t>
  </si>
  <si>
    <t>Исследование уровня свободного тироксина (СТ4) сыворотки крови</t>
  </si>
  <si>
    <t>A09.05.063</t>
  </si>
  <si>
    <t>Определение содержания антител к тиреопероксидазе в крови</t>
  </si>
  <si>
    <t>A12.06.045</t>
  </si>
  <si>
    <t>Исследование уровня общего тестостерона в крови</t>
  </si>
  <si>
    <t>A09.05.078</t>
  </si>
  <si>
    <t>Исследование уровня свободного тестостерона в крови</t>
  </si>
  <si>
    <t>A09.05.078.001</t>
  </si>
  <si>
    <t>Исследование уровня дигидротестостерона в крови</t>
  </si>
  <si>
    <t>A09.05.150</t>
  </si>
  <si>
    <t>Исследование уровня лютеинизирующего гормона в сыворотке крови</t>
  </si>
  <si>
    <t>A09.05.131</t>
  </si>
  <si>
    <t>Исследование уровня фолликулостимулирующего гормона в сыворотке крови</t>
  </si>
  <si>
    <t>A09.05.132</t>
  </si>
  <si>
    <t>Исследование уровня прогестерона в крови</t>
  </si>
  <si>
    <t>A09.05.153</t>
  </si>
  <si>
    <t>Исследование уровня общего эстрадиола в крови</t>
  </si>
  <si>
    <t>A09.05.154</t>
  </si>
  <si>
    <t>Исследование уровня пролактина в крови</t>
  </si>
  <si>
    <t>A09.05.087</t>
  </si>
  <si>
    <t>Исследование уровня общего кортизола в крови</t>
  </si>
  <si>
    <t>A09.05.135</t>
  </si>
  <si>
    <t>Исследование уровня соматотропного гормона в крови</t>
  </si>
  <si>
    <t>A09.05.066</t>
  </si>
  <si>
    <t>Исследование уровня простатспецифического антигена общего в крови</t>
  </si>
  <si>
    <t>A09.05.130</t>
  </si>
  <si>
    <t>Исследование уровня простатспецифического антигена свободного в крови</t>
  </si>
  <si>
    <t>A09.05.130.001</t>
  </si>
  <si>
    <t>Исследование уровня гистамина в крови</t>
  </si>
  <si>
    <t>A09.05.085</t>
  </si>
  <si>
    <t>Исследование уровня серотонина, его предшественников и метаболитов в крови</t>
  </si>
  <si>
    <t>A09.05.124</t>
  </si>
  <si>
    <r>
      <t>Микроскопическое исследование соскоба с кожи на грибы (</t>
    </r>
    <r>
      <rPr>
        <b/>
        <sz val="12"/>
        <color indexed="8"/>
        <rFont val="Times New Roman"/>
        <family val="1"/>
        <charset val="204"/>
      </rPr>
      <t xml:space="preserve">дрожжевые, </t>
    </r>
    <r>
      <rPr>
        <sz val="12"/>
        <color indexed="8"/>
        <rFont val="Times New Roman"/>
        <family val="1"/>
        <charset val="204"/>
      </rPr>
      <t>плесневые, дерматомицеты)</t>
    </r>
  </si>
  <si>
    <t>A26.01.015</t>
  </si>
  <si>
    <t>Исследование функции нефронов по клиренсу креатинина (проба Реберга)</t>
  </si>
  <si>
    <t>A12.28.002</t>
  </si>
  <si>
    <t>Гематологические исследования</t>
  </si>
  <si>
    <t>Биохимические исследования крови</t>
  </si>
  <si>
    <t>Исследования электролитов крови</t>
  </si>
  <si>
    <t>Биохимические исследования мочи</t>
  </si>
  <si>
    <t>Коагулогические исследования</t>
  </si>
  <si>
    <t>Исследование гормонов</t>
  </si>
  <si>
    <t>Исследование онкомаркеров</t>
  </si>
  <si>
    <t>Регистрация электрокардиограммы</t>
  </si>
  <si>
    <t>A05.10.006</t>
  </si>
  <si>
    <t>Электрокардиография с применением лекарственных препаратов</t>
  </si>
  <si>
    <t>A12.10.002</t>
  </si>
  <si>
    <t>Расшифровка, описание и интерпретация электрокардиографических данных</t>
  </si>
  <si>
    <t>A05.10.004</t>
  </si>
  <si>
    <t>Электрокардиография с физической нагрузкой</t>
  </si>
  <si>
    <t>A12.10.001</t>
  </si>
  <si>
    <t>Реовазография</t>
  </si>
  <si>
    <t>A05.12.001</t>
  </si>
  <si>
    <t>Реоэнцефалография</t>
  </si>
  <si>
    <t>A05.23.002</t>
  </si>
  <si>
    <t>Исследование неспровоцированных дыхательных объемов и потоков</t>
  </si>
  <si>
    <t>A12.09.001</t>
  </si>
  <si>
    <t>Исследование дыхательных объемов с применением лекарственных препаратов</t>
  </si>
  <si>
    <t>A12.09.002.001</t>
  </si>
  <si>
    <t>Велоэргометрия</t>
  </si>
  <si>
    <t>A12.10.005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</si>
  <si>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</si>
  <si>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B03.047.002</t>
  </si>
  <si>
    <t>Паллестезиометрия</t>
  </si>
  <si>
    <t>A02.12.002.001</t>
  </si>
  <si>
    <t>Холтеровское мониторирование сердечного ритма</t>
  </si>
  <si>
    <t>A05.10.008</t>
  </si>
  <si>
    <t>Гипервентиляционная, ортостатическая пробы</t>
  </si>
  <si>
    <t>A12.09.003</t>
  </si>
  <si>
    <t>Осмотр (консультация) врача функциональной диагностики</t>
  </si>
  <si>
    <t>B01.056.001</t>
  </si>
  <si>
    <t>Электроэнцефалография</t>
  </si>
  <si>
    <t>A05.23.001</t>
  </si>
  <si>
    <t>Электроэнцефалография с нагрузочными пробами</t>
  </si>
  <si>
    <t>A05.23.001.001</t>
  </si>
  <si>
    <t xml:space="preserve">Рентгенография верхней челюсти в косой проекции    </t>
  </si>
  <si>
    <t>A06.07.008</t>
  </si>
  <si>
    <t>Рентгенография нижней челюсти в боковой проекции</t>
  </si>
  <si>
    <t>A06.07.009</t>
  </si>
  <si>
    <t>Рентгенография придаточных пазух носа</t>
  </si>
  <si>
    <t>A06.08.003</t>
  </si>
  <si>
    <t>Рентгенография головки и шейки бедренной кости</t>
  </si>
  <si>
    <t>A06.03.042</t>
  </si>
  <si>
    <t>Рентгенография бедренной кости</t>
  </si>
  <si>
    <t>A06.03.043</t>
  </si>
  <si>
    <t>Рентгенография диафиза бедренной кости</t>
  </si>
  <si>
    <t>A06.03.044</t>
  </si>
  <si>
    <t>Рентгенография надколенника</t>
  </si>
  <si>
    <t>A06.03.045</t>
  </si>
  <si>
    <t xml:space="preserve">Рентгенография большой берцовой и малой берцовой костей   </t>
  </si>
  <si>
    <t>A06.03.046</t>
  </si>
  <si>
    <t xml:space="preserve">Рентгенография диафиза большой берцовой и малой берцовой костей   </t>
  </si>
  <si>
    <t>A06.03.047</t>
  </si>
  <si>
    <t>Рентгенография всего черепа, в одной или более проекциях</t>
  </si>
  <si>
    <t>A06.03.005</t>
  </si>
  <si>
    <t>Рентгенография кисти</t>
  </si>
  <si>
    <t>A06.03.032</t>
  </si>
  <si>
    <t>Рентгенография стопы в одной проекции</t>
  </si>
  <si>
    <t>A06.03.052</t>
  </si>
  <si>
    <t>Рентгенография стопы в двух проекциях</t>
  </si>
  <si>
    <t>A06.03.053</t>
  </si>
  <si>
    <t>Прицельная внутриротовая контактная рентгенография</t>
  </si>
  <si>
    <t>A06.07.003</t>
  </si>
  <si>
    <t>Рентгенография таза</t>
  </si>
  <si>
    <t>A06.03.041</t>
  </si>
  <si>
    <t>Рентгенография почек и мочевыводящих путей</t>
  </si>
  <si>
    <t>A06.28.001</t>
  </si>
  <si>
    <t>Описание и интерпретация рентгенографических изображений</t>
  </si>
  <si>
    <t>A06.30.002</t>
  </si>
  <si>
    <t>Рентгенография головки плечевой кости</t>
  </si>
  <si>
    <t>A06.03.027</t>
  </si>
  <si>
    <t>Рентгенография плечевой кости</t>
  </si>
  <si>
    <t>A06.03.028</t>
  </si>
  <si>
    <t>Рентгенография локтевой кости и лучевой кости</t>
  </si>
  <si>
    <t>A06.03.029</t>
  </si>
  <si>
    <t>Рентгенография запястья</t>
  </si>
  <si>
    <t>A06.03.030</t>
  </si>
  <si>
    <t>Рентгенография локтевого сустава</t>
  </si>
  <si>
    <t>A06.04.003</t>
  </si>
  <si>
    <t>Рентгенография лучезапястного сустава</t>
  </si>
  <si>
    <t>A06.04.004</t>
  </si>
  <si>
    <t>Рентгенография коленного сустава</t>
  </si>
  <si>
    <t>A06.04.005</t>
  </si>
  <si>
    <t>Рентгенография плечевого сустава</t>
  </si>
  <si>
    <t>A06.04.010</t>
  </si>
  <si>
    <t>Рентгенография тазобедренного сустава</t>
  </si>
  <si>
    <t>A06.04.011</t>
  </si>
  <si>
    <t>Рентгенография голеностопного сустава</t>
  </si>
  <si>
    <t>A06.04.012</t>
  </si>
  <si>
    <t>Рентгенография акромиально-ключичного сочленения</t>
  </si>
  <si>
    <t>A06.04.013</t>
  </si>
  <si>
    <t>Рентгенография грудино-ключичного сочленения</t>
  </si>
  <si>
    <t>A06.04.014</t>
  </si>
  <si>
    <t>Рентгенография ребра(ер)</t>
  </si>
  <si>
    <t>A06.03.023</t>
  </si>
  <si>
    <t>Рентгенография лопатки</t>
  </si>
  <si>
    <t>A06.03.026</t>
  </si>
  <si>
    <t>Рентгенография шейного отдела позвоночника</t>
  </si>
  <si>
    <t>A06.03.010</t>
  </si>
  <si>
    <t xml:space="preserve">Рентгенография позвоночника с функциональными пробами        </t>
  </si>
  <si>
    <t>A06.03.019</t>
  </si>
  <si>
    <t xml:space="preserve">Рентгенография грудного отдела позвоночника                     </t>
  </si>
  <si>
    <t>A06.03.013</t>
  </si>
  <si>
    <r>
      <t xml:space="preserve">Рентгенография грудного и поясничного отдела позвоночника    </t>
    </r>
    <r>
      <rPr>
        <b/>
        <sz val="16"/>
        <color indexed="63"/>
        <rFont val="Times New Roman"/>
        <family val="1"/>
        <charset val="204"/>
      </rPr>
      <t xml:space="preserve"> </t>
    </r>
  </si>
  <si>
    <t>A06.03.014</t>
  </si>
  <si>
    <t>Рентгенография крестца и копчика</t>
  </si>
  <si>
    <t>A06.03.017</t>
  </si>
  <si>
    <t>Рентгенография костей лицевого скелета</t>
  </si>
  <si>
    <t>A06.03.056</t>
  </si>
  <si>
    <t>Рентгенография поясничного отдела позвоночника</t>
  </si>
  <si>
    <t>A06.03.015</t>
  </si>
  <si>
    <t xml:space="preserve">Рентгенография поясничного и крестцового отдела позвоночника    </t>
  </si>
  <si>
    <t>A06.03.016</t>
  </si>
  <si>
    <t>Прицельная рентгенография органов грудной клетки</t>
  </si>
  <si>
    <t>A06.09.007.001</t>
  </si>
  <si>
    <t xml:space="preserve">Рентгенография стопы с функциональной нагрузкой                          </t>
  </si>
  <si>
    <t>A06.03.053.001</t>
  </si>
  <si>
    <t>Флюорография легких цифровая</t>
  </si>
  <si>
    <t>A06.09.006.001</t>
  </si>
  <si>
    <t>Рентгенография легких</t>
  </si>
  <si>
    <t>A06.09.007</t>
  </si>
  <si>
    <t>Ультразвуковое исследование слюнных желез</t>
  </si>
  <si>
    <t>A04.07.002</t>
  </si>
  <si>
    <t>Ультразвуковое исследование плевральной полости</t>
  </si>
  <si>
    <t>A04.09.001</t>
  </si>
  <si>
    <t>Ультразвуковое исследование желчного пузыря и протоков</t>
  </si>
  <si>
    <t>A04.14.002</t>
  </si>
  <si>
    <t>Ультразвуковое исследование печени</t>
  </si>
  <si>
    <t>A04.14.001</t>
  </si>
  <si>
    <t>A04.15.001</t>
  </si>
  <si>
    <t>Ультразвуковое исследование почек и надпочечников</t>
  </si>
  <si>
    <t>A04.28.001</t>
  </si>
  <si>
    <t>Ультразвуковое исследование гепатобиллиарной зоны</t>
  </si>
  <si>
    <t>A04.14.001.003</t>
  </si>
  <si>
    <t>Ультразвуковое исследование органов брюшной полости (комплексное)</t>
  </si>
  <si>
    <t>A04.16.001</t>
  </si>
  <si>
    <t>Ультразвуковое исследование матки и придатков трансабдоминальное</t>
  </si>
  <si>
    <t>A04.20.001</t>
  </si>
  <si>
    <t>Ультразвуковое исследование матки и придатков трансвагиальное</t>
  </si>
  <si>
    <t>A04.20.001.001</t>
  </si>
  <si>
    <t>Ультразвуковое исследование предстательной железы</t>
  </si>
  <si>
    <t>A04.21.001</t>
  </si>
  <si>
    <t>A04.28.002.005</t>
  </si>
  <si>
    <t>A04.06.001</t>
  </si>
  <si>
    <t>Ультразвуковое исследование сустава</t>
  </si>
  <si>
    <t>A04.04.001</t>
  </si>
  <si>
    <t>Эхокардиография</t>
  </si>
  <si>
    <t>A04.10.002</t>
  </si>
  <si>
    <t>Ультразвуковое исследование щитовидной железы и паращитовидных желез</t>
  </si>
  <si>
    <t>A04.22.001</t>
  </si>
  <si>
    <t>Ультразвуковое исследование органов мошонки</t>
  </si>
  <si>
    <t>A04.28.003</t>
  </si>
  <si>
    <t>Ультразвуковое исследование молочных желез</t>
  </si>
  <si>
    <t>A04.20.002</t>
  </si>
  <si>
    <t>Ультразвуковое исследование лимфатических узлов (одна анатомическая зона)</t>
  </si>
  <si>
    <t>A04.06.002</t>
  </si>
  <si>
    <t>Дуплексное сканирование артерий почек</t>
  </si>
  <si>
    <t>A04.12.001.002</t>
  </si>
  <si>
    <t>Ультразвуковая допплерография артерий верхних конечностей</t>
  </si>
  <si>
    <t>A04.12.001</t>
  </si>
  <si>
    <t>Ультразвуковая допплерография вен нижних конечностей</t>
  </si>
  <si>
    <t>A04.12.002.002</t>
  </si>
  <si>
    <t>Ультразвуковая допплерография артерий нижних конечностей</t>
  </si>
  <si>
    <t>A04.12.001.001</t>
  </si>
  <si>
    <t>Ультразвуковая допплерография вен верхних конечностей</t>
  </si>
  <si>
    <t>A04.12.002.003</t>
  </si>
  <si>
    <t>Дуплексное сканирование брюшного отдела аорты, подвздошных и общих бедренных артерий</t>
  </si>
  <si>
    <t>A04.12.003.002</t>
  </si>
  <si>
    <t>Дуплексное сканирование брахиоцефальных артерий с цветным допплеровским картированием кровотока</t>
  </si>
  <si>
    <t>A04.12.005.003</t>
  </si>
  <si>
    <t>A04.22.003</t>
  </si>
  <si>
    <t>Ультразвуковое исследование мягких тканей (одна анатомическая зона)</t>
  </si>
  <si>
    <t>A04.01.001</t>
  </si>
  <si>
    <t>Ультразвуковое определение жидкости в брюшной полости</t>
  </si>
  <si>
    <t>A04.30.004</t>
  </si>
  <si>
    <t>Микроскопическое исследование кала на яйца и личинки гельминтов</t>
  </si>
  <si>
    <t>A26.19.010</t>
  </si>
  <si>
    <t>Микробиологическое (культуральное) исследование фекалий на возбудители брюшного тифа и паратифов (Salmonella typhi)</t>
  </si>
  <si>
    <t>A26.19.002</t>
  </si>
  <si>
    <t>Микробиологическое (культуральное) исследование фекалий/ректального мазка на возбудителя дизентерии (Shigella spp.)</t>
  </si>
  <si>
    <t>A26.19.001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</si>
  <si>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</si>
  <si>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A26.19.003</t>
  </si>
  <si>
    <t>Микробиологическое (культуральное) исследование фекалий/ректального мазка на диарогенные эшерихии (EHEC, EPEC, ETEC, EAgEC, EIEC) с определением чувствительности к антибактериальным препаратам</t>
  </si>
  <si>
    <t>A26.19.085</t>
  </si>
  <si>
    <t>Определение антител классов M, G (IgM, IgG) к вирусу иммунодефицита человека ВИЧ-2 (Human immunodeficiency virus HIV 2) в крови</t>
  </si>
  <si>
    <t>A26.06.049</t>
  </si>
  <si>
    <t>Определение антигена (HbsAg) вируса гепатита B (Hepatitis B virus) в крови</t>
  </si>
  <si>
    <t>A26.06.036</t>
  </si>
  <si>
    <t>Определение антител к поверхностному антигену (HBsAg) вируса гепатита B (Hepatitis B virus) в крови</t>
  </si>
  <si>
    <t xml:space="preserve">A26.06.040  </t>
  </si>
  <si>
    <t>A26.06.041.002</t>
  </si>
  <si>
    <t>Определение суммарных антител классов M и G (anti-HCV IgG и anti-HCV IgM) к вирусу гепатита C (Hepatitis C virus) в крови</t>
  </si>
  <si>
    <t>Микробиологическое исследование отделяемого женских половых органов на неспорообразующие анаэробные микроорганизмы</t>
  </si>
  <si>
    <t>A26.20.007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</si>
  <si>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</si>
  <si>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A26.20.008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</si>
  <si>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</si>
  <si>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A26.08.005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</si>
  <si>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</si>
  <si>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A26.25.001</t>
  </si>
  <si>
    <t>Микробиологическое (культуральное) исследование отделяемого из ушей на дрожжевые грибы</t>
  </si>
  <si>
    <t>A26.25.004</t>
  </si>
  <si>
    <t>Микробиологическое (культуральное) исследование отделяемого из ушей на мицелиальные грибы</t>
  </si>
  <si>
    <t>A26.25.005</t>
  </si>
  <si>
    <t>Определение чувствительности микроорганизмов к антимикробным химиотерапевтическим препаратам</t>
  </si>
  <si>
    <t>A26.30.004</t>
  </si>
  <si>
    <t>Профилактический прием (осмотр, консультация) врача психиатра - нарколога</t>
  </si>
  <si>
    <t>Прием (осмотр, консультация) врача по медицинской профилактике повторный (послерейсовый осмотр (1 день)</t>
  </si>
  <si>
    <t>Внутрисуставное введение лекарственных препаратов</t>
  </si>
  <si>
    <t>450</t>
  </si>
  <si>
    <t>482</t>
  </si>
  <si>
    <t>Электростимуляция (комлексная физиотерапия (аппарат "Андрогин")</t>
  </si>
  <si>
    <t>Воздействие инфракрасным излучением (лечение на аппарате "Яровит")</t>
  </si>
  <si>
    <t>Определение типа реакции сердечно-сосудистой системы на физическую нагрузку</t>
  </si>
  <si>
    <t>Определение уровня тренированности</t>
  </si>
  <si>
    <t>Аппликационная анестезия</t>
  </si>
  <si>
    <t xml:space="preserve">Восстановление зуба пломбой I,V,VI класс по Блэку с использованием материалов из фотополимеров - лечение неосложненного кариеса (пломба из светочувствительного материала) </t>
  </si>
  <si>
    <t xml:space="preserve">Лечение пульпита с пломбировкой однокорневого зуба </t>
  </si>
  <si>
    <t xml:space="preserve">Лечение пульпита с пломбировкой 2-х корневого зуба </t>
  </si>
  <si>
    <t>Лечение пульпита с пломбировкой 2-х корневого зуба (2-3 посещения)</t>
  </si>
  <si>
    <t xml:space="preserve">Лечение пульпита с пломбировкой 3-х корневого зуба </t>
  </si>
  <si>
    <t>Лечение пульпита с пломбировкой 3-х корневого зуба (2-3 посещения)</t>
  </si>
  <si>
    <t xml:space="preserve">Лечение периодонтита с пломбировкой однокорневого зуба </t>
  </si>
  <si>
    <t xml:space="preserve">Прием (осмотр, консультация) врача-психотерапевта первичный </t>
  </si>
  <si>
    <t xml:space="preserve">B01.034.001 </t>
  </si>
  <si>
    <t xml:space="preserve">Прием (осмотр, консультация) врача-психотерапевта повторный </t>
  </si>
  <si>
    <t xml:space="preserve">B01.034.002 </t>
  </si>
  <si>
    <t xml:space="preserve">Прием (осмотр, консультация) врача-мануальной терапии первичный </t>
  </si>
  <si>
    <t xml:space="preserve">B01.022.001 </t>
  </si>
  <si>
    <t xml:space="preserve">Прием (осмотр, консультация) врача мануальной терапии повторный </t>
  </si>
  <si>
    <t xml:space="preserve">B01.022.002 </t>
  </si>
  <si>
    <t xml:space="preserve">Прием (осмотр, консультация) врача-травматолога-ортопеда первичный </t>
  </si>
  <si>
    <t xml:space="preserve">B01.050.001 </t>
  </si>
  <si>
    <t xml:space="preserve">Прием (осмотр, консультация) врача-травматолога-ортопеда повторный </t>
  </si>
  <si>
    <t xml:space="preserve">B01.050.002 </t>
  </si>
  <si>
    <t xml:space="preserve">Прием (осмотр, консультация) врача по лечебной физкультуре </t>
  </si>
  <si>
    <t xml:space="preserve">B01.020.001 </t>
  </si>
  <si>
    <t xml:space="preserve">Прием (осмотр, консультация) врача по лечебной физкультуре повторный </t>
  </si>
  <si>
    <t xml:space="preserve">B01.020.005 </t>
  </si>
  <si>
    <t>Манипуляции врача мануальной терапии:</t>
  </si>
  <si>
    <t xml:space="preserve">Мануальная терапия при заболеваниях позвоночника </t>
  </si>
  <si>
    <t xml:space="preserve">A21.03.006 </t>
  </si>
  <si>
    <t xml:space="preserve">Мануальная терапия при заболеваниях костной системы </t>
  </si>
  <si>
    <t xml:space="preserve">A21.03.004 </t>
  </si>
  <si>
    <t xml:space="preserve">Мануальная терапия при заболеваниях суставов </t>
  </si>
  <si>
    <t xml:space="preserve">A21.04.001 </t>
  </si>
  <si>
    <t xml:space="preserve">Мануальная терапия при заболеваниях периферической нервной системы </t>
  </si>
  <si>
    <t xml:space="preserve">Тракционное вытяжение позвоночника </t>
  </si>
  <si>
    <t>A21.03.008</t>
  </si>
  <si>
    <t xml:space="preserve">Подводное вытяжение позвоночника </t>
  </si>
  <si>
    <t xml:space="preserve">A21.03.010 </t>
  </si>
  <si>
    <t xml:space="preserve">Ударно-волновая терапия </t>
  </si>
  <si>
    <t xml:space="preserve">A22.30.015 </t>
  </si>
  <si>
    <t xml:space="preserve">Манипуляции психотерапевта: </t>
  </si>
  <si>
    <t xml:space="preserve">Индивидуальная психотерапия </t>
  </si>
  <si>
    <t xml:space="preserve">A13.29.008.001 </t>
  </si>
  <si>
    <t xml:space="preserve">Групповая психотерапия </t>
  </si>
  <si>
    <t xml:space="preserve">A13.29.008.002 </t>
  </si>
  <si>
    <t>Ежедневные осмотры для дневного стационара:</t>
  </si>
  <si>
    <t xml:space="preserve">Ежедневный осмотр врачом-неврологом с наблюдением и уходом среднего и младшего медицинского персонала в отделении стационара </t>
  </si>
  <si>
    <t xml:space="preserve">B01.023.003 </t>
  </si>
  <si>
    <t xml:space="preserve">Ежедневный осмотр врачом-кардиологом с наблюдением и уходом среднего и младшего медицинского персонала в отделении стационара </t>
  </si>
  <si>
    <t xml:space="preserve">B01.015.006 </t>
  </si>
  <si>
    <t xml:space="preserve">Ежедневный осмотр врачом-терапевтом с наблюдением и уходом среднего и младшего медицинского персонала в отделении стационара </t>
  </si>
  <si>
    <t xml:space="preserve">B01.047.009 </t>
  </si>
  <si>
    <t xml:space="preserve">Ежедневный осмотр врачом-травматологом-ортопедом с наблюдением и уходом среднего и младшего медицинского персонала в отделении стационара </t>
  </si>
  <si>
    <t xml:space="preserve">B01.050.003 </t>
  </si>
  <si>
    <t xml:space="preserve">Воздействие на точки акупунктуры другими физическими факторами </t>
  </si>
  <si>
    <t xml:space="preserve">A17.01.002 </t>
  </si>
  <si>
    <t xml:space="preserve">Рефлексотерапия при заболеваниях костной системы </t>
  </si>
  <si>
    <t xml:space="preserve">A21.03.003 </t>
  </si>
  <si>
    <t xml:space="preserve">Рефлексотерапия при заболеваниях верхних дыхательных путей </t>
  </si>
  <si>
    <t xml:space="preserve">A21.08.001 </t>
  </si>
  <si>
    <t xml:space="preserve">Рефлексотерапия при заболеваниях нижних дыхательных путей и легочной ткани </t>
  </si>
  <si>
    <t xml:space="preserve">A21.09.001 </t>
  </si>
  <si>
    <t xml:space="preserve">Рефлексотерапия при заболеваниях сердца и перикарда </t>
  </si>
  <si>
    <t xml:space="preserve">A21.10.004 </t>
  </si>
  <si>
    <t xml:space="preserve">Рефлексотерапия при заболеваниях крупных кровеносных сосудов </t>
  </si>
  <si>
    <t xml:space="preserve">A21.12.003 </t>
  </si>
  <si>
    <t xml:space="preserve">Рефлексотерапия при заболеваниях пищевода, желудка и двенадцатиперстной кишки </t>
  </si>
  <si>
    <t xml:space="preserve">A21.16.001 </t>
  </si>
  <si>
    <t xml:space="preserve">Рефлексотерапия при заболеваниях почек и мочевыделительного тракта </t>
  </si>
  <si>
    <t xml:space="preserve">A21.28.001 </t>
  </si>
  <si>
    <t xml:space="preserve">Рефлексотерапия при заболеваниях женских половых органов </t>
  </si>
  <si>
    <t xml:space="preserve">A21.20.003 </t>
  </si>
  <si>
    <t xml:space="preserve">Рефлексотерапия при заболеваниях желез внутренней секреции </t>
  </si>
  <si>
    <t xml:space="preserve">A21.22.002 </t>
  </si>
  <si>
    <t xml:space="preserve">Рефлексотерапия при заболеваниях центральной нервной системы </t>
  </si>
  <si>
    <t xml:space="preserve">A21.23.002 </t>
  </si>
  <si>
    <t xml:space="preserve">Рефлексотерапия при заболеваниях периферической нервной системы </t>
  </si>
  <si>
    <t xml:space="preserve">A21.24.002 </t>
  </si>
  <si>
    <t xml:space="preserve">Рефлексотерапия при заболеваниях органа слуха </t>
  </si>
  <si>
    <t xml:space="preserve">A21.25.001 </t>
  </si>
  <si>
    <t xml:space="preserve">Рефлексотерапия при заболеваниях органа зрения </t>
  </si>
  <si>
    <t xml:space="preserve">A21.26.003 </t>
  </si>
  <si>
    <t xml:space="preserve">Рефлексотерапия при заболеваниях кожи и подкожно-жировой клетчатки </t>
  </si>
  <si>
    <t xml:space="preserve">A21.01.011 </t>
  </si>
  <si>
    <t>Низкоинтенсивная лазеротерапия (внутривенное облучение крови) 1 процедура</t>
  </si>
  <si>
    <t>Низкоинтенсивное лазерное облучение кожи  (1 процедура до 15 мин)</t>
  </si>
  <si>
    <t xml:space="preserve">A22.01.005 </t>
  </si>
  <si>
    <t>Воздействие низкоинтенсивным лазерным излучением при заболеваниях мышц (1 процедура до 15 мин)</t>
  </si>
  <si>
    <t xml:space="preserve">A22.02.001 </t>
  </si>
  <si>
    <t>Воздействие низкоинтенсивным лазерным излучением при заболеваниях суставов  (1 процедура до 15 мин)</t>
  </si>
  <si>
    <t xml:space="preserve">A22.04.003 </t>
  </si>
  <si>
    <t>Лазерная физиотерапия челюстно-лицевой области  (1 процедура до 15 мин)</t>
  </si>
  <si>
    <t xml:space="preserve">A22.07.003 </t>
  </si>
  <si>
    <t>Воздействие низкоинтенсивным лазерным излучением при заболеваниях верхних дыхательных путей  (1 процедура до 15 мин)</t>
  </si>
  <si>
    <t xml:space="preserve">A22.08.007 </t>
  </si>
  <si>
    <t>Воздействие низкоинтенсивным лазерным излучением при заболеваниях нижних дыхательных путей (1 процедура до 15 мин)</t>
  </si>
  <si>
    <t xml:space="preserve">A22.09.010 </t>
  </si>
  <si>
    <t>Воздействие низкоинтенсивным лазерным излучением при заболеваниях сердца и перикарда  (1 процедура до 15 мин)</t>
  </si>
  <si>
    <t xml:space="preserve">A22.10.001 </t>
  </si>
  <si>
    <t>Воздействие низкоинтенсивным лазерным излучением при заболеваниях крупных кровеносных сосудов  (1 процедура до 15 мин)</t>
  </si>
  <si>
    <t xml:space="preserve">A22.12.001 </t>
  </si>
  <si>
    <t>Лазеротерапия при заболеваниях женских половых органов  (1 процедура до 15 мин)</t>
  </si>
  <si>
    <t xml:space="preserve">A22.20.001 </t>
  </si>
  <si>
    <t>Воздействие низкоинтенсивным лазерным излучением при заболеваниях центральной нервной системы и головного мозга   (1 процедура до 15 мин)</t>
  </si>
  <si>
    <t xml:space="preserve">A22.23.001 </t>
  </si>
  <si>
    <t>Воздействие низкоинтенсивным лазерным излучением при заболеваниях периферической нервной системы (1 процедура до 15 мин)</t>
  </si>
  <si>
    <t xml:space="preserve">A22.24.001 </t>
  </si>
  <si>
    <t>Воздействие низкоинтенсивным лазерным излучением при заболеваниях мочевыделительного тракта  (1 процедура до 15 мин)</t>
  </si>
  <si>
    <t xml:space="preserve">A22.28.014 </t>
  </si>
  <si>
    <t xml:space="preserve">Воздействие излучением видимого диапазона  (1 процедура ) </t>
  </si>
  <si>
    <t xml:space="preserve">A22.30.002 </t>
  </si>
  <si>
    <t>Криотерапия локальная  (1 процедура до 12 минут)</t>
  </si>
  <si>
    <t xml:space="preserve">A24.01.005.003 </t>
  </si>
  <si>
    <t>Воздействие низкочастотным импульсным электростатическим полем ( 1 процедура до 15 мин)</t>
  </si>
  <si>
    <t xml:space="preserve">A17.30.038 </t>
  </si>
  <si>
    <t>Воздействие парафином при заболеваниях костной системы (1 поле)</t>
  </si>
  <si>
    <t xml:space="preserve">A20.03.002 </t>
  </si>
  <si>
    <t>Воздействие парафином (озокеритом) при заболеваниях центральной нервной системы  (1 поле)</t>
  </si>
  <si>
    <t xml:space="preserve">A20.23.002 </t>
  </si>
  <si>
    <t>Парафинотерапия заболеваний периферической нервной системы  (1 поле)</t>
  </si>
  <si>
    <t xml:space="preserve">A20.24.002 </t>
  </si>
  <si>
    <t>Электронейростимуляция головного мозга   (1 процедура)</t>
  </si>
  <si>
    <t xml:space="preserve">A17.23.004 </t>
  </si>
  <si>
    <t xml:space="preserve">Трансцеребральное воздействие магнитными полями    </t>
  </si>
  <si>
    <t xml:space="preserve">A17.30.014 </t>
  </si>
  <si>
    <t>Общая магнитотерапия  (1 процедура)</t>
  </si>
  <si>
    <t xml:space="preserve">A17.30.025 </t>
  </si>
  <si>
    <t>Воздействие магнитными полями (1 процедура)</t>
  </si>
  <si>
    <t xml:space="preserve">A17.30.031 </t>
  </si>
  <si>
    <t xml:space="preserve">Воздействие высокоинтенсивным импульсным магнитным полем (1 процедура до 15 мин) </t>
  </si>
  <si>
    <t xml:space="preserve">A17.30.029 </t>
  </si>
  <si>
    <t>Диадинамотерапия (1 процедура до 15 мин)</t>
  </si>
  <si>
    <t xml:space="preserve">A17.30.003 </t>
  </si>
  <si>
    <t>Воздействие синусоидальными модулированными токами (1 процедура до 15 мин)</t>
  </si>
  <si>
    <t xml:space="preserve">A17.30.004 </t>
  </si>
  <si>
    <t>Воздействие интерференционными токами (1 процедура до 15 мин)</t>
  </si>
  <si>
    <t xml:space="preserve">A17.30.005 </t>
  </si>
  <si>
    <t>Чрескожная короткоимпульсная электростимуляция (ЧЭНС) (1 процедура до 15 мин)</t>
  </si>
  <si>
    <t xml:space="preserve">A17.30.006 </t>
  </si>
  <si>
    <t>Флюктуоризация (1 процедура до 15 мин)</t>
  </si>
  <si>
    <t xml:space="preserve">A17.30.033 </t>
  </si>
  <si>
    <t>Электрофорез импульсными токами (1 процедура до 15 мин)</t>
  </si>
  <si>
    <t xml:space="preserve">A17.30.024 </t>
  </si>
  <si>
    <t>Лекарственный электрофорез при неуточненных заболеваниях (1 процедура)</t>
  </si>
  <si>
    <t xml:space="preserve">A17.29.003 </t>
  </si>
  <si>
    <t>Электростимуляция  (1 процедура до 15 мин)</t>
  </si>
  <si>
    <t>Ультрафонофорез лекарственный(1 процедура до 15 мин)</t>
  </si>
  <si>
    <t xml:space="preserve">A17.30.034 </t>
  </si>
  <si>
    <t>Ультразвуковое лечение кожи (1 процедура до 15 мин)</t>
  </si>
  <si>
    <t xml:space="preserve">A22.01.001 </t>
  </si>
  <si>
    <t>Воздействие ультразвуком при заболеваниях суставов (1 процедура до 15 мин)</t>
  </si>
  <si>
    <t xml:space="preserve">A22.04.002 </t>
  </si>
  <si>
    <t>Воздействие ультразвуковое при заболеваниях центральной нервной системы и головного мозга (1 процедура до 15 мин)</t>
  </si>
  <si>
    <t xml:space="preserve">A22.23.003 </t>
  </si>
  <si>
    <t>Воздействие ультразвуковое при заболеваниях периферической нервной системы(1 процедура до 15 мин)</t>
  </si>
  <si>
    <t xml:space="preserve">A22.24.002 </t>
  </si>
  <si>
    <t>Ванны вихревые лечебные (1 процедура 10мин)</t>
  </si>
  <si>
    <t xml:space="preserve">A20.30.008 </t>
  </si>
  <si>
    <t>Подводный душ-массаж лечебный  (1 процедура до 20 мин)</t>
  </si>
  <si>
    <t xml:space="preserve">A20.30.010 </t>
  </si>
  <si>
    <t>Ванны воздушно-пузырьковые (жемчужные) (1 процедура до 20 мин)</t>
  </si>
  <si>
    <t xml:space="preserve">A20.30.030 </t>
  </si>
  <si>
    <t>Термовибромассаж паравертебральных мышц (1 процедура до 20мин)</t>
  </si>
  <si>
    <t xml:space="preserve">A21.03.002.006 </t>
  </si>
  <si>
    <t>Барокамера</t>
  </si>
  <si>
    <t>Гипербарическая оксигенация при заболеваниях периферической нервной системы (1 процедура)</t>
  </si>
  <si>
    <t xml:space="preserve">A20.24.005 </t>
  </si>
  <si>
    <t>Гипербарическая оксигенация при заболеваниях центральной нервной системы (1 процедура)</t>
  </si>
  <si>
    <t xml:space="preserve">A20.24.005.001 </t>
  </si>
  <si>
    <t>Гипо-, нормо- и гипербарическая оксигенация при заболеваниях органа зрения (1 процедура)</t>
  </si>
  <si>
    <t xml:space="preserve">A20.26.001 </t>
  </si>
  <si>
    <t>Баровоздействие - прессотерапия конечностей, пневмокомпрессия (1 процедура)</t>
  </si>
  <si>
    <t xml:space="preserve">A17.30.009 </t>
  </si>
  <si>
    <t>Вакуумное воздействие (1 процедура)</t>
  </si>
  <si>
    <t xml:space="preserve">A17.30.010 </t>
  </si>
  <si>
    <t>Массаж кисти и предплечья (1 процедура)</t>
  </si>
  <si>
    <t xml:space="preserve">A21.01.004.005 </t>
  </si>
  <si>
    <t>Массаж верхней конечности, надплечья и области лопатки (1 процедура)</t>
  </si>
  <si>
    <t>Массаж плечевого сустава (1 процедура)</t>
  </si>
  <si>
    <t xml:space="preserve">A21.01.004.002 </t>
  </si>
  <si>
    <t>Массаж нижней конечности медицинский (1 процедура)</t>
  </si>
  <si>
    <t xml:space="preserve">A21.01.009 </t>
  </si>
  <si>
    <t>Массаж тазобедренного сустава и ягодичной области (1 процедура)</t>
  </si>
  <si>
    <t xml:space="preserve">A21.01.009.002 </t>
  </si>
  <si>
    <t>Массаж коленного сустава (1 процедура)</t>
  </si>
  <si>
    <t xml:space="preserve">A21.01.009.003 </t>
  </si>
  <si>
    <t>Массаж голеностопного сустава (1 процедура)</t>
  </si>
  <si>
    <t xml:space="preserve">A21.01.009.004 </t>
  </si>
  <si>
    <t>Массаж шейно-грудного отдела позвоночника (1 процедура)</t>
  </si>
  <si>
    <t xml:space="preserve">A21.03.002.005 </t>
  </si>
  <si>
    <t>Массаж воротниковой области (1 процедура)</t>
  </si>
  <si>
    <t xml:space="preserve">A21.01.003.001 </t>
  </si>
  <si>
    <t>Массаж пояснично-крестцового отдела позвоночника (1 процедура)</t>
  </si>
  <si>
    <t xml:space="preserve">A21.03.002.004 </t>
  </si>
  <si>
    <t>Массаж пояснично-крестцовой области (1 процедура)</t>
  </si>
  <si>
    <t xml:space="preserve">A21.03.002.001 </t>
  </si>
  <si>
    <t>Массаж спины медицинский (1 процедура)</t>
  </si>
  <si>
    <t xml:space="preserve">A21.03.007 </t>
  </si>
  <si>
    <t>Массаж волосистой части головы медицинский (1 процедура)</t>
  </si>
  <si>
    <t xml:space="preserve">A21.01.005 </t>
  </si>
  <si>
    <t>Массаж лица медицинский (1 процедура)</t>
  </si>
  <si>
    <t xml:space="preserve">A21.01.002 </t>
  </si>
  <si>
    <t>Массаж грудной клетки медицинский (1 процедура)</t>
  </si>
  <si>
    <t xml:space="preserve">A21.30.005 </t>
  </si>
  <si>
    <t>Массаж передней брюшной стенки медицинский (1 процедура)</t>
  </si>
  <si>
    <t xml:space="preserve">A21.30.001 </t>
  </si>
  <si>
    <t>Общий массаж медицинский (1 процедура)</t>
  </si>
  <si>
    <t xml:space="preserve">A21.01.001 </t>
  </si>
  <si>
    <t>Лечебная гимнастика</t>
  </si>
  <si>
    <t>Лечебная физкультура при травме позвоночника (1 занятие)</t>
  </si>
  <si>
    <t xml:space="preserve">A19.03.001 </t>
  </si>
  <si>
    <t>Групповое занятие лечебной физкультурой при травме позвоночника (1 занятие)</t>
  </si>
  <si>
    <t xml:space="preserve">A19.03.001.001 </t>
  </si>
  <si>
    <t>Индивидуальное занятие лечебной физкультурой при заболеваниях позвоночника (1 занятие)</t>
  </si>
  <si>
    <t xml:space="preserve">A19.03.002.001 </t>
  </si>
  <si>
    <t>Групповое занятие лечебной физкультурой при заболеваниях позвоночника (1 занятие)</t>
  </si>
  <si>
    <t xml:space="preserve">A19.03.002.002 </t>
  </si>
  <si>
    <t>Индивидуальное занятие лечебной физкультурой при переломе костей (1 занятие)</t>
  </si>
  <si>
    <t xml:space="preserve">A19.03.003.001 </t>
  </si>
  <si>
    <t>Групповое занятие лечебной физкультурой при переломе костей (1 занятие)</t>
  </si>
  <si>
    <t xml:space="preserve">A19.03.003.002 </t>
  </si>
  <si>
    <t>Индивидуальное занятие лечебной физкультурой при заболеваниях и травмах суставов (1 занятие)</t>
  </si>
  <si>
    <t xml:space="preserve">A19.04.001.001 </t>
  </si>
  <si>
    <t>Групповое занятие лечебной физкультурой при заболеваниях и травмах суставов (1 занятие)</t>
  </si>
  <si>
    <t xml:space="preserve">A19.04.001.002 </t>
  </si>
  <si>
    <t>Индивидуальное занятие лечебной физкультурой при заболеваниях бронхолегочной системы (1 занятие)</t>
  </si>
  <si>
    <t xml:space="preserve">A19.09.001.001 </t>
  </si>
  <si>
    <t>Индивидуальное занятие лечебной физкультурой при заболеваниях сердца и перикарда (1 занятие)</t>
  </si>
  <si>
    <t xml:space="preserve">A19.10.001.001 </t>
  </si>
  <si>
    <t>Групповое занятие лечебной физкультурой при заболеваниях сердца и перикарда (1 занятие)</t>
  </si>
  <si>
    <t xml:space="preserve">A19.10.001.002 </t>
  </si>
  <si>
    <t>Индивидуальное занятие лечебной физкультурой при заболеваниях крупных кровеносных сосудов (1 занятие)</t>
  </si>
  <si>
    <t xml:space="preserve">A19.12.001.001 </t>
  </si>
  <si>
    <t xml:space="preserve">Групповое занятие лечебной физкультурой при заболеваниях крупных кровеносных сосудов </t>
  </si>
  <si>
    <t xml:space="preserve">A19.12.001.002 </t>
  </si>
  <si>
    <t>Индивидуальное занятие лечебной физкультурой при заболеваниях центральной нервной системы и головного мозга (1 занятие)</t>
  </si>
  <si>
    <t xml:space="preserve">A19.23.002.014 </t>
  </si>
  <si>
    <t>Групповое занятие лечебной физкультурой при заболеваниях центральной нервной системы и головного мозга (1 занятие)</t>
  </si>
  <si>
    <t xml:space="preserve">A19.23.002.015 </t>
  </si>
  <si>
    <t>Индивидуальное занятие при заболеваниях периферической нервной системы (1 занятие)</t>
  </si>
  <si>
    <t xml:space="preserve">A19.24.001.001 </t>
  </si>
  <si>
    <t>Групповое занятие при заболеваниях периферической нервной системы (1 занятие)</t>
  </si>
  <si>
    <t xml:space="preserve">A19.24.001.002 </t>
  </si>
  <si>
    <t>Упражнения для укрепления мышц лица и шеи (1 занятие)</t>
  </si>
  <si>
    <t xml:space="preserve">A19.30.005 </t>
  </si>
  <si>
    <t>Лечебная гимнастика с тренажерами</t>
  </si>
  <si>
    <t>Лечебная физкультура с использованием тренажера (1 занятие)</t>
  </si>
  <si>
    <t xml:space="preserve">A19.30.007 </t>
  </si>
  <si>
    <t>Лечебная физкультура с использованием аппаратов и тренажеров при переломе костей (1 занятие)</t>
  </si>
  <si>
    <t xml:space="preserve">A19.03.003.022 </t>
  </si>
  <si>
    <t>Лечебная физкультура с использованием аппаратов и тренажеров при заболеваниях и травмах суставов (1 занятие)</t>
  </si>
  <si>
    <t xml:space="preserve">A19.04.001.023 </t>
  </si>
  <si>
    <t xml:space="preserve">Лечебная физкультура с использованием аппаратов и тренажеров при травме позвоночника </t>
  </si>
  <si>
    <t xml:space="preserve">A19.03.001.022 </t>
  </si>
  <si>
    <t>Лечебная физкультура с использованием аппаратов и тренажеров при травме позвоночника с поражением спинного мозга (1 занятие)</t>
  </si>
  <si>
    <t xml:space="preserve">A19.03.004.026 </t>
  </si>
  <si>
    <t>Лечебная физкультура с использованием аппаратов и тренажеров при заболеваниях позвоночника (1 занятие)</t>
  </si>
  <si>
    <t xml:space="preserve">A19.03.002.023 </t>
  </si>
  <si>
    <t>Лечебная физкультура с использованием тренажеров при заболеваниях сердца и перикарда (1 занятие)</t>
  </si>
  <si>
    <t xml:space="preserve">A19.10.001.004 </t>
  </si>
  <si>
    <t>Лечебная физкультура с использованием тренажеров при заболеваниях крупных кровеносных сосудов (1 занятие)</t>
  </si>
  <si>
    <t xml:space="preserve">A19.12.001.003 </t>
  </si>
  <si>
    <t>Лечебная физкультура с использованием аппаратов и тренажеров при заболеваниях центральной нервной системы и головного мозга (1 занятие)</t>
  </si>
  <si>
    <t xml:space="preserve">A19.23.002.025 </t>
  </si>
  <si>
    <t>Лечебная физкультура с использованием аппаратов и тренажеров при заболеваниях периферической нервной системы (1 занятие)</t>
  </si>
  <si>
    <t xml:space="preserve">A19.24.001.026 </t>
  </si>
  <si>
    <t>Массаж ручной класический</t>
  </si>
  <si>
    <t>КИНЕТЕК   ОРТОРЕНТ   РОТА   БАЛАНС терапия</t>
  </si>
  <si>
    <t>Механотерапия ( 1 занятие : Кроссовер / РОТА / ОРТОРЕНТ / ВЕЛОЭРГОМЕТР)</t>
  </si>
  <si>
    <t xml:space="preserve">A19.30.006 </t>
  </si>
  <si>
    <t>Механотерапия на механотерапевтических аппаратах с электроприводом при переломе костей (1 занятие 20мин)</t>
  </si>
  <si>
    <t xml:space="preserve">A19.03.003.010 </t>
  </si>
  <si>
    <t>Механотерапия на механотерапевтических аппаратах с электроприводом при заболеваниях и травмах суставов  (1 занятие 20мин)</t>
  </si>
  <si>
    <t xml:space="preserve">A19.04.001.010 </t>
  </si>
  <si>
    <t>Механотерапия на механотерапевтических аппаратах с электроприводом при травме позвоночника с поражением спинного мозга  (1 занятие 20мин)</t>
  </si>
  <si>
    <t xml:space="preserve">A19.03.004.010 </t>
  </si>
  <si>
    <t>Механотерапия на механотерапевтических аппаратах с электроприводом при заболеваниях центральной нервной системы и головного мозга  (1 занятие 20мин)</t>
  </si>
  <si>
    <t xml:space="preserve">A19.23.002.023 </t>
  </si>
  <si>
    <t>Давид</t>
  </si>
  <si>
    <t>Проведение теста с многократной физической нагрузкой неменяющейся интенсивности ( 1 тестирование 30мин )</t>
  </si>
  <si>
    <t xml:space="preserve">A23.30.023.002 </t>
  </si>
  <si>
    <t xml:space="preserve">Составление плана проведения курса лечебной физкультуры </t>
  </si>
  <si>
    <t xml:space="preserve">A23.30.009 </t>
  </si>
  <si>
    <t>Проведение контроля эффективности проведения занятий лечебной физкультурой                   ( повторный осмотр после завершения цикла 12 занятий и повторного тестирования)</t>
  </si>
  <si>
    <t xml:space="preserve">A23.30.012 </t>
  </si>
  <si>
    <t>Аппаратные стато-кинетические нагрузки ( 1 занятие 90мин)</t>
  </si>
  <si>
    <t xml:space="preserve">A19.30.006.002 </t>
  </si>
  <si>
    <t>БОС - тренажеры</t>
  </si>
  <si>
    <t xml:space="preserve">Коррекция нарушения двигательной функции с использованием компьютерных технологий </t>
  </si>
  <si>
    <t xml:space="preserve">A19.23.004 </t>
  </si>
  <si>
    <t xml:space="preserve">Коррекция нарушения двигательной функции при помощи биологической обратной связи </t>
  </si>
  <si>
    <t xml:space="preserve">A19.23.003 </t>
  </si>
  <si>
    <t xml:space="preserve">Прием (осмотр, консультация) врача-рефлексотерапевта первичный </t>
  </si>
  <si>
    <t xml:space="preserve">B01.041.001 </t>
  </si>
  <si>
    <t xml:space="preserve">Прием (осмотр, консультация) врача-рефлексотерапевта повторный </t>
  </si>
  <si>
    <t xml:space="preserve">B01.041.002 </t>
  </si>
  <si>
    <t>Прием (осмотр, консультация) врача по спортивной медицине</t>
  </si>
  <si>
    <t xml:space="preserve">Осмотр(консультация)врача-физиотерапевта </t>
  </si>
  <si>
    <t xml:space="preserve">A18.05.019   </t>
  </si>
  <si>
    <r>
      <t xml:space="preserve">Прием (осмотр, консультация) врача терапевта первичный (медицинское обслуживание домов и баз отдыха, съездов, совещаний и конференций, зрелищных мероприятий, спортивных соревнований в </t>
    </r>
    <r>
      <rPr>
        <b/>
        <sz val="12"/>
        <rFont val="Times New Roman"/>
        <family val="1"/>
        <charset val="204"/>
      </rPr>
      <t xml:space="preserve">выходной и праздничный день (1 час) </t>
    </r>
  </si>
  <si>
    <r>
      <t xml:space="preserve">Прием (осмотр, консультация) врача терапевта первичный (медицинское обслуживание домов и баз отдыха, съездов, совещаний и конференций, зрелищных мероприятий, спортивных соревнований в </t>
    </r>
    <r>
      <rPr>
        <b/>
        <sz val="12"/>
        <rFont val="Times New Roman"/>
        <family val="1"/>
        <charset val="204"/>
      </rPr>
      <t xml:space="preserve">рабочий день (1 час) </t>
    </r>
  </si>
  <si>
    <t>Профилактический прием (осмотр, консультация) врача стоматолога терапевта</t>
  </si>
  <si>
    <t xml:space="preserve">Общий (клинический) анализ крови </t>
  </si>
  <si>
    <t>B03.016.002</t>
  </si>
  <si>
    <t>Клинические исследования</t>
  </si>
  <si>
    <t>Исследования на ВИЧ и гепатиты</t>
  </si>
  <si>
    <t>Микробиологические исследования</t>
  </si>
  <si>
    <t>Исследования органов женской половой сферы Гинекологический мазок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</si>
  <si>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</si>
  <si>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</si>
  <si>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</si>
  <si>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</si>
  <si>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</si>
  <si>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</si>
  <si>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</si>
  <si>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</si>
  <si>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</si>
  <si>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</si>
  <si>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</si>
  <si>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</si>
  <si>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</si>
  <si>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</si>
  <si>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</si>
  <si>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</si>
  <si>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</si>
  <si>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</si>
  <si>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</si>
  <si>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</si>
  <si>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</si>
  <si>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</si>
  <si>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</si>
  <si>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</si>
  <si>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</si>
  <si>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</si>
  <si>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</si>
  <si>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</si>
  <si>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</si>
  <si>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</si>
  <si>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</si>
  <si>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</si>
  <si>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</si>
  <si>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</si>
  <si>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</si>
  <si>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</si>
  <si>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</si>
  <si>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</si>
  <si>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</si>
  <si>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</si>
  <si>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</si>
  <si>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</si>
  <si>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</si>
  <si>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</si>
  <si>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</si>
  <si>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</si>
  <si>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</si>
  <si>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</si>
  <si>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</si>
  <si>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</si>
  <si>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</si>
  <si>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</si>
  <si>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</si>
  <si>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</si>
  <si>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</si>
  <si>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</si>
  <si>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</si>
  <si>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</si>
  <si>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</si>
  <si>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</si>
  <si>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</si>
  <si>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</si>
  <si>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</si>
  <si>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</si>
  <si>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</si>
  <si>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</si>
  <si>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</si>
  <si>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</si>
  <si>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Исследования органов мужской половой сферы Урологический мазок</t>
  </si>
  <si>
    <t>Лаборатория                                                                    Химико-микроскопическое исследование мочи</t>
  </si>
  <si>
    <r>
      <t xml:space="preserve">   платных услуг и тарифов, оказываемых в КГБУЗ "Клинический Центр восстановительной медицины и реабилитации" сверх объемов гарантированной бесплатной медицинской помощи и медицинских стандартов </t>
    </r>
    <r>
      <rPr>
        <sz val="14"/>
        <rFont val="Arial Cyr"/>
        <charset val="204"/>
      </rPr>
      <t>вступает в силу с 01.03.2020</t>
    </r>
  </si>
  <si>
    <r>
      <rPr>
        <b/>
        <sz val="14"/>
        <rFont val="Arial Cyr"/>
        <charset val="204"/>
      </rPr>
      <t xml:space="preserve">УТВЕРЖДАЮ    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         Главный врач                                                                                                                                                                                                                                                КГБУЗ "Клинический Центр                                                                                     восстановительной                                                                                                                                                                медицины и реабилитации"                                                                                                                                                                                                        __________________М.Н. Багаткин                                                                                                                                                                     "____" ___________ 2020 г.</t>
    </r>
  </si>
  <si>
    <t>B01.047.002</t>
  </si>
  <si>
    <t>B01.008.001</t>
  </si>
  <si>
    <t>B01.008.002</t>
  </si>
  <si>
    <t>B01.015.001</t>
  </si>
  <si>
    <t>B01.015.002</t>
  </si>
  <si>
    <t>B01.040.001</t>
  </si>
  <si>
    <t>B01.040.002</t>
  </si>
  <si>
    <t>B01.058.001</t>
  </si>
  <si>
    <t>B01.058.002</t>
  </si>
  <si>
    <t>B01.023.001</t>
  </si>
  <si>
    <t>B01.023.002</t>
  </si>
  <si>
    <t>B01.053.001</t>
  </si>
  <si>
    <t>B01.053.002</t>
  </si>
  <si>
    <t>B01.057.001</t>
  </si>
  <si>
    <t>B01.057.002</t>
  </si>
  <si>
    <t>B01.001.001</t>
  </si>
  <si>
    <t>B01.001.002</t>
  </si>
  <si>
    <t>B01.028.001</t>
  </si>
  <si>
    <t>B01.028.002</t>
  </si>
  <si>
    <t>B01.029.001</t>
  </si>
  <si>
    <t>B01.029.002</t>
  </si>
  <si>
    <t>B01.020.002</t>
  </si>
  <si>
    <t>B01.004.001</t>
  </si>
  <si>
    <t>B01.004.002</t>
  </si>
  <si>
    <t>B01.064.003</t>
  </si>
  <si>
    <t>B01.064.004</t>
  </si>
  <si>
    <t>B01.065.001</t>
  </si>
  <si>
    <t>B01.065.002</t>
  </si>
  <si>
    <t>B01.054.001</t>
  </si>
  <si>
    <t>B04.047.002</t>
  </si>
  <si>
    <t>B04.008.002</t>
  </si>
  <si>
    <t>B04.035.002</t>
  </si>
  <si>
    <t>B04.036.001</t>
  </si>
  <si>
    <t>B04.023.002</t>
  </si>
  <si>
    <t>B04.050.002</t>
  </si>
  <si>
    <t>B04.053.002</t>
  </si>
  <si>
    <t>B04.001.002</t>
  </si>
  <si>
    <t>B04.028.002</t>
  </si>
  <si>
    <t>B04.065.002</t>
  </si>
  <si>
    <t>B04.064.002</t>
  </si>
  <si>
    <t>B04.057.002</t>
  </si>
  <si>
    <t>B04.033.002</t>
  </si>
  <si>
    <t>B04.031.002</t>
  </si>
  <si>
    <t>B01.070.002</t>
  </si>
  <si>
    <t>B01.070.003</t>
  </si>
  <si>
    <t>A11.01.009</t>
  </si>
  <si>
    <t>A11.12.003</t>
  </si>
  <si>
    <t>A11.02.002</t>
  </si>
  <si>
    <t>A11.01.002</t>
  </si>
  <si>
    <t>A02.07.004</t>
  </si>
  <si>
    <t>A11.12.009</t>
  </si>
  <si>
    <t>A02.12.002</t>
  </si>
  <si>
    <t>A22.30.006</t>
  </si>
  <si>
    <t>A23.30.007</t>
  </si>
  <si>
    <t>A02.24.001</t>
  </si>
  <si>
    <t>B03.020.006</t>
  </si>
  <si>
    <t>A03.28.001</t>
  </si>
  <si>
    <t>A16.28.072.001</t>
  </si>
  <si>
    <t>A11.28.006</t>
  </si>
  <si>
    <t>A21.21.001</t>
  </si>
  <si>
    <t>A11.28.007</t>
  </si>
  <si>
    <t>A16.01.017.001</t>
  </si>
  <si>
    <t>A11.28.008</t>
  </si>
  <si>
    <t>A11.28.009</t>
  </si>
  <si>
    <t>A22.30.001</t>
  </si>
  <si>
    <t>A12.28.006</t>
  </si>
  <si>
    <t>A25.22.001</t>
  </si>
  <si>
    <t>A11.30.024</t>
  </si>
  <si>
    <t>A11.04.004</t>
  </si>
  <si>
    <t>A16.01.027</t>
  </si>
  <si>
    <t>A11.20.023</t>
  </si>
  <si>
    <t>A16.01.004</t>
  </si>
  <si>
    <t>A16.01.003</t>
  </si>
  <si>
    <t>A16.01.012</t>
  </si>
  <si>
    <t>A16.01.002</t>
  </si>
  <si>
    <t>A16.01.011</t>
  </si>
  <si>
    <t>A16.01.016</t>
  </si>
  <si>
    <t>A16.01.001</t>
  </si>
  <si>
    <t>B01.003.004.001</t>
  </si>
  <si>
    <t>A03.20.001</t>
  </si>
  <si>
    <t>A16.25.012</t>
  </si>
  <si>
    <t>A11.25.003</t>
  </si>
  <si>
    <t>A16.08.016</t>
  </si>
  <si>
    <t>A12.25.001</t>
  </si>
  <si>
    <t>A12.25.002</t>
  </si>
  <si>
    <t>A11.08.019</t>
  </si>
  <si>
    <t>A16.25.007</t>
  </si>
  <si>
    <t>A21.25.002</t>
  </si>
  <si>
    <t>A11.26.005</t>
  </si>
  <si>
    <t>A23.26.001</t>
  </si>
  <si>
    <t>A02.26.005</t>
  </si>
  <si>
    <t>A11.26.011</t>
  </si>
  <si>
    <t>A11.26.016</t>
  </si>
  <si>
    <t>A03.26.001</t>
  </si>
  <si>
    <t>A03.26.002</t>
  </si>
  <si>
    <t>A11.26.009</t>
  </si>
  <si>
    <t>A21.26.001</t>
  </si>
  <si>
    <t>A03.26.008</t>
  </si>
  <si>
    <t>A02.07.001</t>
  </si>
  <si>
    <t>B01.003.004.002</t>
  </si>
  <si>
    <t>B01.003.004.005</t>
  </si>
  <si>
    <t>A16.07.002.010</t>
  </si>
  <si>
    <t>A16.07.002</t>
  </si>
  <si>
    <t>A16.07.031</t>
  </si>
  <si>
    <t>A16.07.091</t>
  </si>
  <si>
    <t>A16.07.057</t>
  </si>
  <si>
    <t>A16.07.030</t>
  </si>
  <si>
    <t>A13.30.007</t>
  </si>
  <si>
    <t>A16.07.001</t>
  </si>
  <si>
    <t>A16.07.030.003</t>
  </si>
  <si>
    <t>A16.07.025.001</t>
  </si>
  <si>
    <t>A11.07.024</t>
  </si>
  <si>
    <t>A16.07.002.009</t>
  </si>
  <si>
    <t>B01.003.004.004</t>
  </si>
  <si>
    <t>A11.12.003.001</t>
  </si>
  <si>
    <t>B01.047.001/1</t>
  </si>
  <si>
    <t xml:space="preserve">B01.047.001/2                                    </t>
  </si>
  <si>
    <t xml:space="preserve">B01.047.001/3                                     </t>
  </si>
  <si>
    <t xml:space="preserve">A17.30.035/1 </t>
  </si>
  <si>
    <t xml:space="preserve">A21.01.004.001/1 </t>
  </si>
  <si>
    <t xml:space="preserve">A21.01.004.001/2 </t>
  </si>
  <si>
    <t xml:space="preserve">A17.30.035/2   </t>
  </si>
  <si>
    <t>A16.01.017/1</t>
  </si>
  <si>
    <t>A16.01.017/2</t>
  </si>
  <si>
    <t>A16.07.082.001/1</t>
  </si>
  <si>
    <t xml:space="preserve">A16.07.082.001/2    </t>
  </si>
  <si>
    <t xml:space="preserve">A16.07.082.001/3    </t>
  </si>
  <si>
    <t xml:space="preserve">A16.07.020/1    </t>
  </si>
  <si>
    <t>A16.07.020/2</t>
  </si>
  <si>
    <t>B04.029.002/1</t>
  </si>
  <si>
    <t>B04.029.002/2</t>
  </si>
  <si>
    <t>A21.24.001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</si>
</sst>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&quot;р.&quot;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3"/>
      <name val="Arial Cyr"/>
      <charset val="204"/>
    </font>
    <font>
      <b/>
      <sz val="14"/>
      <name val="Arial Cyr"/>
      <charset val="204"/>
    </font>
    <font>
      <b/>
      <sz val="15"/>
      <name val="Arial Cyr"/>
      <charset val="204"/>
    </font>
    <font>
      <sz val="14"/>
      <name val="Arial Cyr"/>
      <charset val="204"/>
    </font>
    <font>
      <sz val="8"/>
      <name val="Arial"/>
      <family val="2"/>
    </font>
    <font>
      <i/>
      <sz val="12"/>
      <name val="Arial Cyr"/>
      <charset val="204"/>
    </font>
    <font>
      <u/>
      <sz val="14"/>
      <color indexed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color theme="0" tint="-0.34998626667073579"/>
      <name val="Arial Cyr"/>
      <charset val="204"/>
    </font>
    <font>
      <sz val="12"/>
      <color theme="0" tint="-0.34998626667073579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3" fontId="4" fillId="0" borderId="0" xfId="0" applyNumberFormat="1" applyFont="1" applyFill="1" applyAlignment="1"/>
    <xf numFmtId="4" fontId="4" fillId="0" borderId="0" xfId="0" applyNumberFormat="1" applyFont="1" applyFill="1" applyAlignment="1"/>
    <xf numFmtId="0" fontId="4" fillId="0" borderId="0" xfId="0" applyFont="1" applyFill="1" applyAlignment="1"/>
    <xf numFmtId="165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right" vertical="center" wrapText="1"/>
    </xf>
    <xf numFmtId="2" fontId="4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/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textRotation="90" wrapText="1"/>
    </xf>
    <xf numFmtId="2" fontId="4" fillId="0" borderId="3" xfId="0" applyNumberFormat="1" applyFont="1" applyFill="1" applyBorder="1" applyAlignment="1">
      <alignment horizontal="center" vertical="center" textRotation="90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/>
    <xf numFmtId="165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/>
    <xf numFmtId="4" fontId="22" fillId="0" borderId="0" xfId="0" applyNumberFormat="1" applyFont="1" applyFill="1" applyAlignment="1">
      <alignment wrapText="1"/>
    </xf>
    <xf numFmtId="4" fontId="22" fillId="2" borderId="0" xfId="0" applyNumberFormat="1" applyFont="1" applyFill="1" applyBorder="1" applyAlignment="1">
      <alignment horizontal="center" vertical="center" wrapText="1"/>
    </xf>
    <xf numFmtId="9" fontId="4" fillId="0" borderId="0" xfId="3" applyFont="1" applyFill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9" fontId="4" fillId="0" borderId="1" xfId="3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9" fontId="4" fillId="2" borderId="0" xfId="3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wrapText="1"/>
    </xf>
    <xf numFmtId="1" fontId="4" fillId="2" borderId="0" xfId="0" applyNumberFormat="1" applyFont="1" applyFill="1" applyAlignment="1">
      <alignment wrapText="1"/>
    </xf>
    <xf numFmtId="2" fontId="4" fillId="2" borderId="0" xfId="0" applyNumberFormat="1" applyFont="1" applyFill="1" applyAlignment="1">
      <alignment wrapText="1"/>
    </xf>
    <xf numFmtId="0" fontId="6" fillId="2" borderId="0" xfId="0" applyFont="1" applyFill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/>
    <xf numFmtId="4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22" fillId="4" borderId="0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9" fontId="4" fillId="4" borderId="0" xfId="3" applyFont="1" applyFill="1" applyAlignment="1">
      <alignment horizontal="center" vertical="center" wrapText="1"/>
    </xf>
    <xf numFmtId="164" fontId="4" fillId="4" borderId="0" xfId="0" applyNumberFormat="1" applyFont="1" applyFill="1" applyAlignment="1">
      <alignment wrapText="1"/>
    </xf>
    <xf numFmtId="1" fontId="4" fillId="4" borderId="0" xfId="0" applyNumberFormat="1" applyFont="1" applyFill="1" applyAlignment="1">
      <alignment wrapText="1"/>
    </xf>
    <xf numFmtId="2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4" fontId="22" fillId="5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center" vertical="center" textRotation="90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4" xfId="1" applyFont="1" applyFill="1" applyBorder="1" applyAlignment="1" applyProtection="1">
      <alignment horizontal="left" vertical="center" wrapText="1"/>
    </xf>
    <xf numFmtId="0" fontId="27" fillId="0" borderId="9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center" vertical="center" textRotation="90" wrapText="1"/>
    </xf>
    <xf numFmtId="4" fontId="22" fillId="0" borderId="10" xfId="0" applyNumberFormat="1" applyFont="1" applyFill="1" applyBorder="1" applyAlignment="1">
      <alignment horizontal="center" vertical="center" textRotation="90" wrapText="1"/>
    </xf>
    <xf numFmtId="4" fontId="22" fillId="0" borderId="1" xfId="0" applyNumberFormat="1" applyFont="1" applyFill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center" vertical="center" textRotation="90" wrapText="1"/>
    </xf>
    <xf numFmtId="4" fontId="4" fillId="0" borderId="3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4" fontId="4" fillId="2" borderId="3" xfId="0" applyNumberFormat="1" applyFont="1" applyFill="1" applyBorder="1" applyAlignment="1">
      <alignment horizontal="center" vertical="center" textRotation="90" wrapText="1"/>
    </xf>
    <xf numFmtId="4" fontId="4" fillId="2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vo.garant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3"/>
  <sheetViews>
    <sheetView tabSelected="1" view="pageBreakPreview" zoomScale="80" zoomScaleNormal="85" zoomScaleSheetLayoutView="80" workbookViewId="0">
      <pane xSplit="3" ySplit="7" topLeftCell="D8" activePane="bottomRight" state="frozen"/>
      <selection pane="topRight" activeCell="E1" sqref="E1"/>
      <selection pane="bottomLeft" activeCell="A7" sqref="A7"/>
      <selection pane="bottomRight" activeCell="L7" sqref="L7"/>
    </sheetView>
  </sheetViews>
  <sheetFormatPr defaultRowHeight="15.75" x14ac:dyDescent="0.25"/>
  <cols>
    <col min="1" max="1" width="7" style="37" customWidth="1"/>
    <col min="2" max="2" width="72.7109375" style="193" customWidth="1"/>
    <col min="3" max="3" width="21.140625" style="142" customWidth="1"/>
    <col min="4" max="4" width="19.28515625" style="46" customWidth="1"/>
    <col min="5" max="5" width="12.140625" style="47" customWidth="1"/>
    <col min="6" max="6" width="8.7109375" style="16" customWidth="1"/>
    <col min="7" max="7" width="16.42578125" style="5" customWidth="1"/>
    <col min="8" max="11" width="9.140625" style="5" customWidth="1"/>
    <col min="12" max="16384" width="9.140625" style="5"/>
  </cols>
  <sheetData>
    <row r="1" spans="1:6" ht="133.5" customHeight="1" x14ac:dyDescent="0.2">
      <c r="B1" s="203" t="s">
        <v>1860</v>
      </c>
      <c r="C1" s="203"/>
      <c r="D1" s="203"/>
    </row>
    <row r="2" spans="1:6" ht="23.25" customHeight="1" x14ac:dyDescent="0.2">
      <c r="B2" s="196"/>
      <c r="C2" s="196"/>
      <c r="D2" s="196"/>
    </row>
    <row r="3" spans="1:6" ht="30" customHeight="1" x14ac:dyDescent="0.25">
      <c r="B3" s="15"/>
      <c r="C3" s="137"/>
      <c r="D3" s="41"/>
    </row>
    <row r="4" spans="1:6" ht="19.5" customHeight="1" x14ac:dyDescent="0.2">
      <c r="B4" s="205" t="s">
        <v>288</v>
      </c>
      <c r="C4" s="205"/>
      <c r="D4" s="205"/>
    </row>
    <row r="5" spans="1:6" ht="76.5" customHeight="1" x14ac:dyDescent="0.2">
      <c r="A5" s="204" t="s">
        <v>1859</v>
      </c>
      <c r="B5" s="204"/>
      <c r="C5" s="204"/>
      <c r="D5" s="204"/>
    </row>
    <row r="6" spans="1:6" ht="15.75" customHeight="1" x14ac:dyDescent="0.2">
      <c r="A6" s="201" t="s">
        <v>368</v>
      </c>
      <c r="B6" s="206" t="s">
        <v>924</v>
      </c>
      <c r="C6" s="206" t="s">
        <v>935</v>
      </c>
      <c r="D6" s="199" t="s">
        <v>65</v>
      </c>
    </row>
    <row r="7" spans="1:6" s="6" customFormat="1" ht="148.5" customHeight="1" x14ac:dyDescent="0.2">
      <c r="A7" s="202"/>
      <c r="B7" s="207"/>
      <c r="C7" s="208"/>
      <c r="D7" s="200"/>
      <c r="E7" s="48"/>
      <c r="F7" s="52"/>
    </row>
    <row r="8" spans="1:6" s="6" customFormat="1" x14ac:dyDescent="0.25">
      <c r="A8" s="35"/>
      <c r="B8" s="34" t="s">
        <v>104</v>
      </c>
      <c r="C8" s="138"/>
      <c r="D8" s="43"/>
      <c r="E8" s="48"/>
      <c r="F8" s="52"/>
    </row>
    <row r="9" spans="1:6" x14ac:dyDescent="0.25">
      <c r="A9" s="195" t="s">
        <v>369</v>
      </c>
      <c r="B9" s="123" t="s">
        <v>925</v>
      </c>
      <c r="C9" s="139" t="s">
        <v>1976</v>
      </c>
      <c r="D9" s="95">
        <v>849.99143286757908</v>
      </c>
    </row>
    <row r="10" spans="1:6" x14ac:dyDescent="0.25">
      <c r="A10" s="195" t="s">
        <v>845</v>
      </c>
      <c r="B10" s="123" t="s">
        <v>926</v>
      </c>
      <c r="C10" s="139" t="s">
        <v>1861</v>
      </c>
      <c r="D10" s="95">
        <v>849.99143286757908</v>
      </c>
    </row>
    <row r="11" spans="1:6" x14ac:dyDescent="0.25">
      <c r="A11" s="195" t="s">
        <v>370</v>
      </c>
      <c r="B11" s="123" t="s">
        <v>927</v>
      </c>
      <c r="C11" s="139" t="s">
        <v>1862</v>
      </c>
      <c r="D11" s="95">
        <v>862.47861558441582</v>
      </c>
    </row>
    <row r="12" spans="1:6" x14ac:dyDescent="0.25">
      <c r="A12" s="195" t="s">
        <v>846</v>
      </c>
      <c r="B12" s="123" t="s">
        <v>928</v>
      </c>
      <c r="C12" s="139" t="s">
        <v>1863</v>
      </c>
      <c r="D12" s="95">
        <v>862.47861558441582</v>
      </c>
    </row>
    <row r="13" spans="1:6" x14ac:dyDescent="0.25">
      <c r="A13" s="195" t="s">
        <v>371</v>
      </c>
      <c r="B13" s="123" t="s">
        <v>929</v>
      </c>
      <c r="C13" s="139" t="s">
        <v>1864</v>
      </c>
      <c r="D13" s="95">
        <v>1014.2504066133592</v>
      </c>
    </row>
    <row r="14" spans="1:6" x14ac:dyDescent="0.25">
      <c r="A14" s="195" t="s">
        <v>847</v>
      </c>
      <c r="B14" s="123" t="s">
        <v>930</v>
      </c>
      <c r="C14" s="139" t="s">
        <v>1865</v>
      </c>
      <c r="D14" s="95">
        <v>849.28718349647636</v>
      </c>
    </row>
    <row r="15" spans="1:6" x14ac:dyDescent="0.25">
      <c r="A15" s="195" t="s">
        <v>372</v>
      </c>
      <c r="B15" s="125" t="s">
        <v>934</v>
      </c>
      <c r="C15" s="139" t="s">
        <v>1866</v>
      </c>
      <c r="D15" s="95">
        <v>858.78020200023207</v>
      </c>
    </row>
    <row r="16" spans="1:6" x14ac:dyDescent="0.25">
      <c r="A16" s="195" t="s">
        <v>848</v>
      </c>
      <c r="B16" s="125" t="s">
        <v>931</v>
      </c>
      <c r="C16" s="139" t="s">
        <v>1867</v>
      </c>
      <c r="D16" s="95">
        <v>858.78020200023207</v>
      </c>
    </row>
    <row r="17" spans="1:4" x14ac:dyDescent="0.25">
      <c r="A17" s="195" t="s">
        <v>373</v>
      </c>
      <c r="B17" s="123" t="s">
        <v>932</v>
      </c>
      <c r="C17" s="139" t="s">
        <v>1868</v>
      </c>
      <c r="D17" s="95">
        <v>846.54426538600296</v>
      </c>
    </row>
    <row r="18" spans="1:4" x14ac:dyDescent="0.25">
      <c r="A18" s="195" t="s">
        <v>849</v>
      </c>
      <c r="B18" s="123" t="s">
        <v>933</v>
      </c>
      <c r="C18" s="139" t="s">
        <v>1869</v>
      </c>
      <c r="D18" s="95">
        <v>846.54426538600296</v>
      </c>
    </row>
    <row r="19" spans="1:4" x14ac:dyDescent="0.25">
      <c r="A19" s="195" t="s">
        <v>374</v>
      </c>
      <c r="B19" s="123" t="s">
        <v>936</v>
      </c>
      <c r="C19" s="139" t="s">
        <v>1870</v>
      </c>
      <c r="D19" s="95">
        <v>1677.1545067640693</v>
      </c>
    </row>
    <row r="20" spans="1:4" x14ac:dyDescent="0.25">
      <c r="A20" s="195" t="s">
        <v>850</v>
      </c>
      <c r="B20" s="123" t="s">
        <v>937</v>
      </c>
      <c r="C20" s="139" t="s">
        <v>1871</v>
      </c>
      <c r="D20" s="95">
        <v>1677.1545067640693</v>
      </c>
    </row>
    <row r="21" spans="1:4" x14ac:dyDescent="0.25">
      <c r="A21" s="195" t="s">
        <v>375</v>
      </c>
      <c r="B21" s="123" t="s">
        <v>938</v>
      </c>
      <c r="C21" s="139" t="s">
        <v>1872</v>
      </c>
      <c r="D21" s="95">
        <v>922.34111558441577</v>
      </c>
    </row>
    <row r="22" spans="1:4" x14ac:dyDescent="0.25">
      <c r="A22" s="195" t="s">
        <v>851</v>
      </c>
      <c r="B22" s="123" t="s">
        <v>939</v>
      </c>
      <c r="C22" s="139" t="s">
        <v>1873</v>
      </c>
      <c r="D22" s="95">
        <v>922.34111558441577</v>
      </c>
    </row>
    <row r="23" spans="1:4" x14ac:dyDescent="0.2">
      <c r="A23" s="195" t="s">
        <v>376</v>
      </c>
      <c r="B23" s="123" t="s">
        <v>940</v>
      </c>
      <c r="C23" s="154" t="s">
        <v>1874</v>
      </c>
      <c r="D23" s="95">
        <v>864.99111558441587</v>
      </c>
    </row>
    <row r="24" spans="1:4" x14ac:dyDescent="0.2">
      <c r="A24" s="195" t="s">
        <v>852</v>
      </c>
      <c r="B24" s="123" t="s">
        <v>941</v>
      </c>
      <c r="C24" s="154" t="s">
        <v>1875</v>
      </c>
      <c r="D24" s="95">
        <v>864.99111558441587</v>
      </c>
    </row>
    <row r="25" spans="1:4" ht="31.5" x14ac:dyDescent="0.2">
      <c r="A25" s="195" t="s">
        <v>377</v>
      </c>
      <c r="B25" s="123" t="s">
        <v>942</v>
      </c>
      <c r="C25" s="154" t="s">
        <v>1876</v>
      </c>
      <c r="D25" s="95">
        <v>875.77406862674388</v>
      </c>
    </row>
    <row r="26" spans="1:4" ht="31.5" x14ac:dyDescent="0.2">
      <c r="A26" s="195" t="s">
        <v>853</v>
      </c>
      <c r="B26" s="123" t="s">
        <v>943</v>
      </c>
      <c r="C26" s="154" t="s">
        <v>1877</v>
      </c>
      <c r="D26" s="95">
        <v>875.77406862674388</v>
      </c>
    </row>
    <row r="27" spans="1:4" ht="31.5" x14ac:dyDescent="0.2">
      <c r="A27" s="195" t="s">
        <v>378</v>
      </c>
      <c r="B27" s="123" t="s">
        <v>944</v>
      </c>
      <c r="C27" s="154" t="s">
        <v>1878</v>
      </c>
      <c r="D27" s="95">
        <v>895.79111558441582</v>
      </c>
    </row>
    <row r="28" spans="1:4" ht="31.5" x14ac:dyDescent="0.2">
      <c r="A28" s="195" t="s">
        <v>854</v>
      </c>
      <c r="B28" s="123" t="s">
        <v>945</v>
      </c>
      <c r="C28" s="154" t="s">
        <v>1879</v>
      </c>
      <c r="D28" s="95">
        <v>895.79111558441582</v>
      </c>
    </row>
    <row r="29" spans="1:4" x14ac:dyDescent="0.2">
      <c r="A29" s="195" t="s">
        <v>379</v>
      </c>
      <c r="B29" s="123" t="s">
        <v>946</v>
      </c>
      <c r="C29" s="154" t="s">
        <v>1880</v>
      </c>
      <c r="D29" s="95">
        <v>847.36611558441587</v>
      </c>
    </row>
    <row r="30" spans="1:4" x14ac:dyDescent="0.2">
      <c r="A30" s="195" t="s">
        <v>855</v>
      </c>
      <c r="B30" s="123" t="s">
        <v>947</v>
      </c>
      <c r="C30" s="154" t="s">
        <v>1881</v>
      </c>
      <c r="D30" s="95">
        <v>847.36611558441587</v>
      </c>
    </row>
    <row r="31" spans="1:4" x14ac:dyDescent="0.2">
      <c r="A31" s="195" t="s">
        <v>380</v>
      </c>
      <c r="B31" s="123" t="s">
        <v>1777</v>
      </c>
      <c r="C31" s="154" t="s">
        <v>1882</v>
      </c>
      <c r="D31" s="95">
        <v>931.05725322807166</v>
      </c>
    </row>
    <row r="32" spans="1:4" x14ac:dyDescent="0.2">
      <c r="A32" s="195" t="s">
        <v>381</v>
      </c>
      <c r="B32" s="125" t="s">
        <v>948</v>
      </c>
      <c r="C32" s="154" t="s">
        <v>1883</v>
      </c>
      <c r="D32" s="95">
        <v>858.52861558441589</v>
      </c>
    </row>
    <row r="33" spans="1:4" x14ac:dyDescent="0.2">
      <c r="A33" s="195" t="s">
        <v>382</v>
      </c>
      <c r="B33" s="125" t="s">
        <v>949</v>
      </c>
      <c r="C33" s="154" t="s">
        <v>1884</v>
      </c>
      <c r="D33" s="95">
        <v>858.52861558441589</v>
      </c>
    </row>
    <row r="34" spans="1:4" x14ac:dyDescent="0.2">
      <c r="A34" s="195" t="s">
        <v>383</v>
      </c>
      <c r="B34" s="125" t="s">
        <v>1054</v>
      </c>
      <c r="C34" s="150" t="s">
        <v>1885</v>
      </c>
      <c r="D34" s="95">
        <v>322.39814045454551</v>
      </c>
    </row>
    <row r="35" spans="1:4" x14ac:dyDescent="0.2">
      <c r="A35" s="195" t="s">
        <v>384</v>
      </c>
      <c r="B35" s="125" t="s">
        <v>1055</v>
      </c>
      <c r="C35" s="150" t="s">
        <v>1886</v>
      </c>
      <c r="D35" s="95">
        <v>322.39814045454551</v>
      </c>
    </row>
    <row r="36" spans="1:4" ht="31.5" x14ac:dyDescent="0.2">
      <c r="A36" s="195" t="s">
        <v>385</v>
      </c>
      <c r="B36" s="125" t="s">
        <v>1056</v>
      </c>
      <c r="C36" s="150" t="s">
        <v>1887</v>
      </c>
      <c r="D36" s="95">
        <v>322.39814045454551</v>
      </c>
    </row>
    <row r="37" spans="1:4" ht="31.5" x14ac:dyDescent="0.2">
      <c r="A37" s="195" t="s">
        <v>386</v>
      </c>
      <c r="B37" s="125" t="s">
        <v>1057</v>
      </c>
      <c r="C37" s="150" t="s">
        <v>1888</v>
      </c>
      <c r="D37" s="95">
        <v>322.39814045454551</v>
      </c>
    </row>
    <row r="38" spans="1:4" x14ac:dyDescent="0.2">
      <c r="A38" s="195" t="s">
        <v>387</v>
      </c>
      <c r="B38" s="165" t="s">
        <v>1491</v>
      </c>
      <c r="C38" s="156" t="s">
        <v>1492</v>
      </c>
      <c r="D38" s="95">
        <v>1015.0043387012987</v>
      </c>
    </row>
    <row r="39" spans="1:4" x14ac:dyDescent="0.2">
      <c r="A39" s="195" t="s">
        <v>388</v>
      </c>
      <c r="B39" s="144" t="s">
        <v>1493</v>
      </c>
      <c r="C39" s="157" t="s">
        <v>1494</v>
      </c>
      <c r="D39" s="95">
        <v>850.04111558441582</v>
      </c>
    </row>
    <row r="40" spans="1:4" x14ac:dyDescent="0.2">
      <c r="A40" s="195" t="s">
        <v>389</v>
      </c>
      <c r="B40" s="145" t="s">
        <v>1495</v>
      </c>
      <c r="C40" s="158" t="s">
        <v>1496</v>
      </c>
      <c r="D40" s="95">
        <v>1275.5088882292312</v>
      </c>
    </row>
    <row r="41" spans="1:4" x14ac:dyDescent="0.2">
      <c r="A41" s="195" t="s">
        <v>390</v>
      </c>
      <c r="B41" s="145" t="s">
        <v>1497</v>
      </c>
      <c r="C41" s="158" t="s">
        <v>1498</v>
      </c>
      <c r="D41" s="95">
        <v>1275.5088882292312</v>
      </c>
    </row>
    <row r="42" spans="1:4" x14ac:dyDescent="0.2">
      <c r="A42" s="195" t="s">
        <v>391</v>
      </c>
      <c r="B42" s="192" t="s">
        <v>1499</v>
      </c>
      <c r="C42" s="158" t="s">
        <v>1500</v>
      </c>
      <c r="D42" s="95">
        <v>1061.6395741857348</v>
      </c>
    </row>
    <row r="43" spans="1:4" x14ac:dyDescent="0.2">
      <c r="A43" s="195" t="s">
        <v>392</v>
      </c>
      <c r="B43" s="146" t="s">
        <v>1501</v>
      </c>
      <c r="C43" s="158" t="s">
        <v>1502</v>
      </c>
      <c r="D43" s="95">
        <v>1061.6395741857348</v>
      </c>
    </row>
    <row r="44" spans="1:4" x14ac:dyDescent="0.2">
      <c r="A44" s="195" t="s">
        <v>393</v>
      </c>
      <c r="B44" s="127" t="s">
        <v>1773</v>
      </c>
      <c r="C44" s="159" t="s">
        <v>1774</v>
      </c>
      <c r="D44" s="95">
        <v>1018.9543387012988</v>
      </c>
    </row>
    <row r="45" spans="1:4" x14ac:dyDescent="0.2">
      <c r="A45" s="195" t="s">
        <v>394</v>
      </c>
      <c r="B45" s="127" t="s">
        <v>1775</v>
      </c>
      <c r="C45" s="159" t="s">
        <v>1776</v>
      </c>
      <c r="D45" s="95">
        <v>853.99111558441587</v>
      </c>
    </row>
    <row r="46" spans="1:4" x14ac:dyDescent="0.2">
      <c r="A46" s="195" t="s">
        <v>395</v>
      </c>
      <c r="B46" s="145" t="s">
        <v>1503</v>
      </c>
      <c r="C46" s="158" t="s">
        <v>1504</v>
      </c>
      <c r="D46" s="95">
        <v>1315.0754285140952</v>
      </c>
    </row>
    <row r="47" spans="1:4" x14ac:dyDescent="0.2">
      <c r="A47" s="195" t="s">
        <v>396</v>
      </c>
      <c r="B47" s="145" t="s">
        <v>1505</v>
      </c>
      <c r="C47" s="158" t="s">
        <v>1506</v>
      </c>
      <c r="D47" s="95">
        <v>901.75861900939685</v>
      </c>
    </row>
    <row r="48" spans="1:4" x14ac:dyDescent="0.2">
      <c r="A48" s="168" t="s">
        <v>397</v>
      </c>
      <c r="B48" s="169" t="s">
        <v>1778</v>
      </c>
      <c r="C48" s="158" t="s">
        <v>1889</v>
      </c>
      <c r="D48" s="95">
        <v>932.92589997448988</v>
      </c>
    </row>
    <row r="49" spans="1:4" x14ac:dyDescent="0.2">
      <c r="A49" s="35"/>
      <c r="B49" s="171" t="s">
        <v>271</v>
      </c>
      <c r="C49" s="167"/>
      <c r="D49" s="95"/>
    </row>
    <row r="50" spans="1:4" ht="26.25" customHeight="1" x14ac:dyDescent="0.2">
      <c r="A50" s="195" t="s">
        <v>398</v>
      </c>
      <c r="B50" s="170" t="s">
        <v>950</v>
      </c>
      <c r="C50" s="155" t="s">
        <v>1890</v>
      </c>
      <c r="D50" s="95">
        <v>248.62902889610396</v>
      </c>
    </row>
    <row r="51" spans="1:4" ht="36" customHeight="1" x14ac:dyDescent="0.2">
      <c r="A51" s="36" t="s">
        <v>399</v>
      </c>
      <c r="B51" s="126" t="s">
        <v>951</v>
      </c>
      <c r="C51" s="155" t="s">
        <v>1891</v>
      </c>
      <c r="D51" s="95">
        <v>248.62902889610396</v>
      </c>
    </row>
    <row r="52" spans="1:4" ht="27.75" customHeight="1" x14ac:dyDescent="0.2">
      <c r="A52" s="36" t="s">
        <v>400</v>
      </c>
      <c r="B52" s="126" t="s">
        <v>952</v>
      </c>
      <c r="C52" s="155" t="s">
        <v>1892</v>
      </c>
      <c r="D52" s="95">
        <v>248.62902889610396</v>
      </c>
    </row>
    <row r="53" spans="1:4" ht="33" customHeight="1" x14ac:dyDescent="0.2">
      <c r="A53" s="36" t="s">
        <v>401</v>
      </c>
      <c r="B53" s="126" t="s">
        <v>1474</v>
      </c>
      <c r="C53" s="155" t="s">
        <v>1893</v>
      </c>
      <c r="D53" s="95">
        <v>248.62902889610396</v>
      </c>
    </row>
    <row r="54" spans="1:4" ht="33" customHeight="1" x14ac:dyDescent="0.2">
      <c r="A54" s="36" t="s">
        <v>402</v>
      </c>
      <c r="B54" s="126" t="s">
        <v>953</v>
      </c>
      <c r="C54" s="155" t="s">
        <v>1894</v>
      </c>
      <c r="D54" s="95">
        <v>248.62902889610396</v>
      </c>
    </row>
    <row r="55" spans="1:4" ht="34.5" customHeight="1" x14ac:dyDescent="0.2">
      <c r="A55" s="36" t="s">
        <v>403</v>
      </c>
      <c r="B55" s="126" t="s">
        <v>954</v>
      </c>
      <c r="C55" s="155" t="s">
        <v>1895</v>
      </c>
      <c r="D55" s="95">
        <v>248.62902889610396</v>
      </c>
    </row>
    <row r="56" spans="1:4" ht="27" customHeight="1" x14ac:dyDescent="0.2">
      <c r="A56" s="36" t="s">
        <v>404</v>
      </c>
      <c r="B56" s="126" t="s">
        <v>955</v>
      </c>
      <c r="C56" s="155" t="s">
        <v>1896</v>
      </c>
      <c r="D56" s="95">
        <v>248.62902889610396</v>
      </c>
    </row>
    <row r="57" spans="1:4" ht="33.75" customHeight="1" x14ac:dyDescent="0.2">
      <c r="A57" s="36" t="s">
        <v>405</v>
      </c>
      <c r="B57" s="126" t="s">
        <v>956</v>
      </c>
      <c r="C57" s="155" t="s">
        <v>1897</v>
      </c>
      <c r="D57" s="95">
        <v>248.62902889610396</v>
      </c>
    </row>
    <row r="58" spans="1:4" ht="35.25" customHeight="1" x14ac:dyDescent="0.2">
      <c r="A58" s="36" t="s">
        <v>406</v>
      </c>
      <c r="B58" s="126" t="s">
        <v>957</v>
      </c>
      <c r="C58" s="155" t="s">
        <v>1898</v>
      </c>
      <c r="D58" s="95">
        <v>248.62902889610396</v>
      </c>
    </row>
    <row r="59" spans="1:4" ht="25.5" customHeight="1" x14ac:dyDescent="0.2">
      <c r="A59" s="36" t="s">
        <v>407</v>
      </c>
      <c r="B59" s="126" t="s">
        <v>958</v>
      </c>
      <c r="C59" s="155" t="s">
        <v>1990</v>
      </c>
      <c r="D59" s="95">
        <v>248.62902889610396</v>
      </c>
    </row>
    <row r="60" spans="1:4" ht="30.75" customHeight="1" x14ac:dyDescent="0.2">
      <c r="A60" s="36" t="s">
        <v>408</v>
      </c>
      <c r="B60" s="126" t="s">
        <v>1782</v>
      </c>
      <c r="C60" s="155" t="s">
        <v>1899</v>
      </c>
      <c r="D60" s="95">
        <v>248.62902889610396</v>
      </c>
    </row>
    <row r="61" spans="1:4" ht="31.5" x14ac:dyDescent="0.2">
      <c r="A61" s="36" t="s">
        <v>409</v>
      </c>
      <c r="B61" s="125" t="s">
        <v>1058</v>
      </c>
      <c r="C61" s="150" t="s">
        <v>1900</v>
      </c>
      <c r="D61" s="95">
        <v>248.62902889610396</v>
      </c>
    </row>
    <row r="62" spans="1:4" ht="27" customHeight="1" x14ac:dyDescent="0.2">
      <c r="A62" s="36" t="s">
        <v>410</v>
      </c>
      <c r="B62" s="126" t="s">
        <v>959</v>
      </c>
      <c r="C62" s="155" t="s">
        <v>1901</v>
      </c>
      <c r="D62" s="95">
        <v>248.62902889610396</v>
      </c>
    </row>
    <row r="63" spans="1:4" ht="31.5" x14ac:dyDescent="0.2">
      <c r="A63" s="36" t="s">
        <v>411</v>
      </c>
      <c r="B63" s="123" t="s">
        <v>960</v>
      </c>
      <c r="C63" s="154" t="s">
        <v>1902</v>
      </c>
      <c r="D63" s="95">
        <v>248.62902889610396</v>
      </c>
    </row>
    <row r="64" spans="1:4" x14ac:dyDescent="0.2">
      <c r="A64" s="36" t="s">
        <v>412</v>
      </c>
      <c r="B64" s="123" t="s">
        <v>961</v>
      </c>
      <c r="C64" s="154" t="s">
        <v>1903</v>
      </c>
      <c r="D64" s="95">
        <v>248.62902889610396</v>
      </c>
    </row>
    <row r="65" spans="1:6" ht="31.5" x14ac:dyDescent="0.2">
      <c r="A65" s="36" t="s">
        <v>413</v>
      </c>
      <c r="B65" s="125" t="s">
        <v>962</v>
      </c>
      <c r="C65" s="154" t="s">
        <v>1991</v>
      </c>
      <c r="D65" s="95">
        <v>650.39942753224477</v>
      </c>
    </row>
    <row r="66" spans="1:6" ht="31.5" x14ac:dyDescent="0.2">
      <c r="A66" s="36" t="s">
        <v>414</v>
      </c>
      <c r="B66" s="125" t="s">
        <v>963</v>
      </c>
      <c r="C66" s="155" t="s">
        <v>1904</v>
      </c>
      <c r="D66" s="95">
        <v>105.0301979698344</v>
      </c>
    </row>
    <row r="67" spans="1:6" ht="31.5" x14ac:dyDescent="0.2">
      <c r="A67" s="36" t="s">
        <v>415</v>
      </c>
      <c r="B67" s="125" t="s">
        <v>1475</v>
      </c>
      <c r="C67" s="155" t="s">
        <v>1905</v>
      </c>
      <c r="D67" s="95">
        <v>105.0301979698344</v>
      </c>
    </row>
    <row r="68" spans="1:6" ht="63" x14ac:dyDescent="0.2">
      <c r="A68" s="36" t="s">
        <v>856</v>
      </c>
      <c r="B68" s="123" t="s">
        <v>1781</v>
      </c>
      <c r="C68" s="155" t="s">
        <v>1977</v>
      </c>
      <c r="D68" s="95">
        <v>2079.3638178857145</v>
      </c>
    </row>
    <row r="69" spans="1:6" ht="63" x14ac:dyDescent="0.2">
      <c r="A69" s="194" t="s">
        <v>857</v>
      </c>
      <c r="B69" s="172" t="s">
        <v>1780</v>
      </c>
      <c r="C69" s="155" t="s">
        <v>1978</v>
      </c>
      <c r="D69" s="95">
        <v>3526.5136302857136</v>
      </c>
    </row>
    <row r="70" spans="1:6" s="6" customFormat="1" x14ac:dyDescent="0.2">
      <c r="A70" s="35"/>
      <c r="B70" s="171" t="s">
        <v>105</v>
      </c>
      <c r="C70" s="167"/>
      <c r="D70" s="95"/>
      <c r="E70" s="48"/>
      <c r="F70" s="16"/>
    </row>
    <row r="71" spans="1:6" x14ac:dyDescent="0.2">
      <c r="A71" s="168" t="s">
        <v>858</v>
      </c>
      <c r="B71" s="172" t="s">
        <v>964</v>
      </c>
      <c r="C71" s="155" t="s">
        <v>1906</v>
      </c>
      <c r="D71" s="95">
        <v>203.84122512987011</v>
      </c>
    </row>
    <row r="72" spans="1:6" x14ac:dyDescent="0.2">
      <c r="A72" s="35"/>
      <c r="B72" s="171" t="s">
        <v>106</v>
      </c>
      <c r="C72" s="167"/>
      <c r="D72" s="95"/>
    </row>
    <row r="73" spans="1:6" x14ac:dyDescent="0.2">
      <c r="A73" s="195" t="s">
        <v>416</v>
      </c>
      <c r="B73" s="123" t="s">
        <v>965</v>
      </c>
      <c r="C73" s="155" t="s">
        <v>1907</v>
      </c>
      <c r="D73" s="95">
        <v>189.3419418831169</v>
      </c>
    </row>
    <row r="74" spans="1:6" x14ac:dyDescent="0.2">
      <c r="A74" s="36" t="s">
        <v>417</v>
      </c>
      <c r="B74" s="125" t="s">
        <v>966</v>
      </c>
      <c r="C74" s="155" t="s">
        <v>1908</v>
      </c>
      <c r="D74" s="95">
        <v>106.93092181818182</v>
      </c>
    </row>
    <row r="75" spans="1:6" x14ac:dyDescent="0.2">
      <c r="A75" s="36" t="s">
        <v>418</v>
      </c>
      <c r="B75" s="125" t="s">
        <v>967</v>
      </c>
      <c r="C75" s="155" t="s">
        <v>1909</v>
      </c>
      <c r="D75" s="95">
        <v>106.93092181818182</v>
      </c>
    </row>
    <row r="76" spans="1:6" x14ac:dyDescent="0.2">
      <c r="A76" s="36" t="s">
        <v>419</v>
      </c>
      <c r="B76" s="125" t="s">
        <v>968</v>
      </c>
      <c r="C76" s="155" t="s">
        <v>1975</v>
      </c>
      <c r="D76" s="95">
        <v>566.68026753246761</v>
      </c>
    </row>
    <row r="77" spans="1:6" x14ac:dyDescent="0.2">
      <c r="A77" s="36" t="s">
        <v>420</v>
      </c>
      <c r="B77" s="125" t="s">
        <v>969</v>
      </c>
      <c r="C77" s="155" t="s">
        <v>1910</v>
      </c>
      <c r="D77" s="95">
        <v>233.54284131343204</v>
      </c>
    </row>
    <row r="78" spans="1:6" x14ac:dyDescent="0.2">
      <c r="A78" s="36" t="s">
        <v>421</v>
      </c>
      <c r="B78" s="125" t="s">
        <v>970</v>
      </c>
      <c r="C78" s="155" t="s">
        <v>1911</v>
      </c>
      <c r="D78" s="95">
        <v>193.77631688311692</v>
      </c>
    </row>
    <row r="79" spans="1:6" x14ac:dyDescent="0.2">
      <c r="A79" s="36" t="s">
        <v>422</v>
      </c>
      <c r="B79" s="125" t="s">
        <v>971</v>
      </c>
      <c r="C79" s="155" t="s">
        <v>1912</v>
      </c>
      <c r="D79" s="95">
        <v>91.140417157544846</v>
      </c>
    </row>
    <row r="80" spans="1:6" x14ac:dyDescent="0.2">
      <c r="A80" s="36" t="s">
        <v>423</v>
      </c>
      <c r="B80" s="125" t="s">
        <v>972</v>
      </c>
      <c r="C80" s="155" t="s">
        <v>973</v>
      </c>
      <c r="D80" s="95">
        <v>106.05908669780284</v>
      </c>
    </row>
    <row r="81" spans="1:4" ht="31.5" x14ac:dyDescent="0.2">
      <c r="A81" s="194" t="s">
        <v>424</v>
      </c>
      <c r="B81" s="173" t="s">
        <v>974</v>
      </c>
      <c r="C81" s="155" t="s">
        <v>1913</v>
      </c>
      <c r="D81" s="95">
        <v>179.89318768604414</v>
      </c>
    </row>
    <row r="82" spans="1:4" x14ac:dyDescent="0.2">
      <c r="A82" s="35"/>
      <c r="B82" s="171" t="s">
        <v>107</v>
      </c>
      <c r="C82" s="167"/>
      <c r="D82" s="95"/>
    </row>
    <row r="83" spans="1:4" x14ac:dyDescent="0.2">
      <c r="A83" s="195" t="s">
        <v>425</v>
      </c>
      <c r="B83" s="177" t="s">
        <v>1302</v>
      </c>
      <c r="C83" s="150" t="s">
        <v>1303</v>
      </c>
      <c r="D83" s="95">
        <v>448.30408606569097</v>
      </c>
    </row>
    <row r="84" spans="1:4" x14ac:dyDescent="0.2">
      <c r="A84" s="36" t="s">
        <v>426</v>
      </c>
      <c r="B84" s="178" t="s">
        <v>1304</v>
      </c>
      <c r="C84" s="150" t="s">
        <v>1305</v>
      </c>
      <c r="D84" s="95">
        <v>448.30408606569097</v>
      </c>
    </row>
    <row r="85" spans="1:4" x14ac:dyDescent="0.2">
      <c r="A85" s="36" t="s">
        <v>427</v>
      </c>
      <c r="B85" s="177" t="s">
        <v>1306</v>
      </c>
      <c r="C85" s="124" t="s">
        <v>1307</v>
      </c>
      <c r="D85" s="95">
        <v>380.91532186745007</v>
      </c>
    </row>
    <row r="86" spans="1:4" x14ac:dyDescent="0.2">
      <c r="A86" s="36" t="s">
        <v>428</v>
      </c>
      <c r="B86" s="178" t="s">
        <v>1308</v>
      </c>
      <c r="C86" s="150" t="s">
        <v>1309</v>
      </c>
      <c r="D86" s="95">
        <v>783.6774096856318</v>
      </c>
    </row>
    <row r="87" spans="1:4" x14ac:dyDescent="0.2">
      <c r="A87" s="36" t="s">
        <v>429</v>
      </c>
      <c r="B87" s="178" t="s">
        <v>1310</v>
      </c>
      <c r="C87" s="150" t="s">
        <v>1311</v>
      </c>
      <c r="D87" s="95">
        <v>783.6774096856318</v>
      </c>
    </row>
    <row r="88" spans="1:4" x14ac:dyDescent="0.2">
      <c r="A88" s="36" t="s">
        <v>430</v>
      </c>
      <c r="B88" s="178" t="s">
        <v>1312</v>
      </c>
      <c r="C88" s="150" t="s">
        <v>1313</v>
      </c>
      <c r="D88" s="95">
        <v>738.92606659472267</v>
      </c>
    </row>
    <row r="89" spans="1:4" x14ac:dyDescent="0.2">
      <c r="A89" s="36" t="s">
        <v>431</v>
      </c>
      <c r="B89" s="178" t="s">
        <v>1314</v>
      </c>
      <c r="C89" s="150" t="s">
        <v>1315</v>
      </c>
      <c r="D89" s="95">
        <v>425.66666495835909</v>
      </c>
    </row>
    <row r="90" spans="1:4" x14ac:dyDescent="0.2">
      <c r="A90" s="36" t="s">
        <v>432</v>
      </c>
      <c r="B90" s="177" t="s">
        <v>1316</v>
      </c>
      <c r="C90" s="124" t="s">
        <v>1317</v>
      </c>
      <c r="D90" s="95">
        <v>649.42338041290452</v>
      </c>
    </row>
    <row r="91" spans="1:4" x14ac:dyDescent="0.2">
      <c r="A91" s="36" t="s">
        <v>433</v>
      </c>
      <c r="B91" s="178" t="s">
        <v>1318</v>
      </c>
      <c r="C91" s="150" t="s">
        <v>1319</v>
      </c>
      <c r="D91" s="95">
        <v>649.42338041290452</v>
      </c>
    </row>
    <row r="92" spans="1:4" x14ac:dyDescent="0.2">
      <c r="A92" s="36" t="s">
        <v>434</v>
      </c>
      <c r="B92" s="179" t="s">
        <v>1320</v>
      </c>
      <c r="C92" s="124" t="s">
        <v>1321</v>
      </c>
      <c r="D92" s="95">
        <v>470.14300804926813</v>
      </c>
    </row>
    <row r="93" spans="1:4" x14ac:dyDescent="0.2">
      <c r="A93" s="36" t="s">
        <v>435</v>
      </c>
      <c r="B93" s="178" t="s">
        <v>1322</v>
      </c>
      <c r="C93" s="150" t="s">
        <v>1323</v>
      </c>
      <c r="D93" s="95">
        <v>470.14300804926813</v>
      </c>
    </row>
    <row r="94" spans="1:4" x14ac:dyDescent="0.2">
      <c r="A94" s="36" t="s">
        <v>436</v>
      </c>
      <c r="B94" s="178" t="s">
        <v>1324</v>
      </c>
      <c r="C94" s="150" t="s">
        <v>1325</v>
      </c>
      <c r="D94" s="95">
        <v>441.29233395835905</v>
      </c>
    </row>
    <row r="95" spans="1:4" x14ac:dyDescent="0.2">
      <c r="A95" s="36" t="s">
        <v>437</v>
      </c>
      <c r="B95" s="178" t="s">
        <v>1326</v>
      </c>
      <c r="C95" s="150" t="s">
        <v>1327</v>
      </c>
      <c r="D95" s="95">
        <v>486.04367704926824</v>
      </c>
    </row>
    <row r="96" spans="1:4" x14ac:dyDescent="0.2">
      <c r="A96" s="36" t="s">
        <v>438</v>
      </c>
      <c r="B96" s="178" t="s">
        <v>1328</v>
      </c>
      <c r="C96" s="150" t="s">
        <v>1329</v>
      </c>
      <c r="D96" s="95">
        <v>221.76079048739095</v>
      </c>
    </row>
    <row r="97" spans="1:4" x14ac:dyDescent="0.2">
      <c r="A97" s="36" t="s">
        <v>439</v>
      </c>
      <c r="B97" s="177" t="s">
        <v>1330</v>
      </c>
      <c r="C97" s="124" t="s">
        <v>1331</v>
      </c>
      <c r="D97" s="95">
        <v>434.14732377654099</v>
      </c>
    </row>
    <row r="98" spans="1:4" x14ac:dyDescent="0.2">
      <c r="A98" s="36" t="s">
        <v>440</v>
      </c>
      <c r="B98" s="178" t="s">
        <v>1344</v>
      </c>
      <c r="C98" s="150" t="s">
        <v>1345</v>
      </c>
      <c r="D98" s="95">
        <v>491.84867195835909</v>
      </c>
    </row>
    <row r="99" spans="1:4" x14ac:dyDescent="0.2">
      <c r="A99" s="36" t="s">
        <v>441</v>
      </c>
      <c r="B99" s="178" t="s">
        <v>1346</v>
      </c>
      <c r="C99" s="150" t="s">
        <v>1347</v>
      </c>
      <c r="D99" s="95">
        <v>491.84867195835909</v>
      </c>
    </row>
    <row r="100" spans="1:4" x14ac:dyDescent="0.2">
      <c r="A100" s="36" t="s">
        <v>442</v>
      </c>
      <c r="B100" s="178" t="s">
        <v>1348</v>
      </c>
      <c r="C100" s="150" t="s">
        <v>1349</v>
      </c>
      <c r="D100" s="95">
        <v>504.79867704926824</v>
      </c>
    </row>
    <row r="101" spans="1:4" x14ac:dyDescent="0.2">
      <c r="A101" s="36" t="s">
        <v>859</v>
      </c>
      <c r="B101" s="178" t="s">
        <v>1350</v>
      </c>
      <c r="C101" s="150" t="s">
        <v>1351</v>
      </c>
      <c r="D101" s="95">
        <v>504.79867704926824</v>
      </c>
    </row>
    <row r="102" spans="1:4" x14ac:dyDescent="0.2">
      <c r="A102" s="36" t="s">
        <v>443</v>
      </c>
      <c r="B102" s="178" t="s">
        <v>1352</v>
      </c>
      <c r="C102" s="150" t="s">
        <v>1353</v>
      </c>
      <c r="D102" s="95">
        <v>504.79867704926824</v>
      </c>
    </row>
    <row r="103" spans="1:4" x14ac:dyDescent="0.2">
      <c r="A103" s="36" t="s">
        <v>444</v>
      </c>
      <c r="B103" s="178" t="s">
        <v>1354</v>
      </c>
      <c r="C103" s="150" t="s">
        <v>1355</v>
      </c>
      <c r="D103" s="95">
        <v>504.79867704926824</v>
      </c>
    </row>
    <row r="104" spans="1:4" x14ac:dyDescent="0.2">
      <c r="A104" s="36" t="s">
        <v>445</v>
      </c>
      <c r="B104" s="178" t="s">
        <v>1356</v>
      </c>
      <c r="C104" s="150" t="s">
        <v>1357</v>
      </c>
      <c r="D104" s="95">
        <v>504.79867704926824</v>
      </c>
    </row>
    <row r="105" spans="1:4" x14ac:dyDescent="0.2">
      <c r="A105" s="36" t="s">
        <v>446</v>
      </c>
      <c r="B105" s="178" t="s">
        <v>1358</v>
      </c>
      <c r="C105" s="150" t="s">
        <v>1359</v>
      </c>
      <c r="D105" s="95">
        <v>504.79867704926824</v>
      </c>
    </row>
    <row r="106" spans="1:4" x14ac:dyDescent="0.2">
      <c r="A106" s="36" t="s">
        <v>447</v>
      </c>
      <c r="B106" s="179" t="s">
        <v>1332</v>
      </c>
      <c r="C106" s="124" t="s">
        <v>1333</v>
      </c>
      <c r="D106" s="95">
        <v>504.79867704926824</v>
      </c>
    </row>
    <row r="107" spans="1:4" x14ac:dyDescent="0.2">
      <c r="A107" s="36" t="s">
        <v>860</v>
      </c>
      <c r="B107" s="178" t="s">
        <v>1360</v>
      </c>
      <c r="C107" s="150" t="s">
        <v>1361</v>
      </c>
      <c r="D107" s="95">
        <v>555.60351417302275</v>
      </c>
    </row>
    <row r="108" spans="1:4" x14ac:dyDescent="0.2">
      <c r="A108" s="36" t="s">
        <v>448</v>
      </c>
      <c r="B108" s="180" t="s">
        <v>1334</v>
      </c>
      <c r="C108" s="150" t="s">
        <v>1335</v>
      </c>
      <c r="D108" s="95">
        <v>231.90539272727273</v>
      </c>
    </row>
    <row r="109" spans="1:4" x14ac:dyDescent="0.2">
      <c r="A109" s="36" t="s">
        <v>449</v>
      </c>
      <c r="B109" s="178" t="s">
        <v>1336</v>
      </c>
      <c r="C109" s="150" t="s">
        <v>1337</v>
      </c>
      <c r="D109" s="95">
        <v>584.45418826393188</v>
      </c>
    </row>
    <row r="110" spans="1:4" x14ac:dyDescent="0.2">
      <c r="A110" s="36" t="s">
        <v>450</v>
      </c>
      <c r="B110" s="178" t="s">
        <v>1338</v>
      </c>
      <c r="C110" s="150" t="s">
        <v>1339</v>
      </c>
      <c r="D110" s="95">
        <v>526.75284008211372</v>
      </c>
    </row>
    <row r="111" spans="1:4" x14ac:dyDescent="0.2">
      <c r="A111" s="36" t="s">
        <v>451</v>
      </c>
      <c r="B111" s="178" t="s">
        <v>1340</v>
      </c>
      <c r="C111" s="150" t="s">
        <v>1341</v>
      </c>
      <c r="D111" s="95">
        <v>689.85754344575014</v>
      </c>
    </row>
    <row r="112" spans="1:4" x14ac:dyDescent="0.2">
      <c r="A112" s="36" t="s">
        <v>452</v>
      </c>
      <c r="B112" s="178" t="s">
        <v>1342</v>
      </c>
      <c r="C112" s="150" t="s">
        <v>1343</v>
      </c>
      <c r="D112" s="95">
        <v>450.2001589912046</v>
      </c>
    </row>
    <row r="113" spans="1:6" x14ac:dyDescent="0.2">
      <c r="A113" s="36" t="s">
        <v>453</v>
      </c>
      <c r="B113" s="178" t="s">
        <v>1362</v>
      </c>
      <c r="C113" s="150" t="s">
        <v>1363</v>
      </c>
      <c r="D113" s="95">
        <v>502.02042915659996</v>
      </c>
    </row>
    <row r="114" spans="1:6" x14ac:dyDescent="0.2">
      <c r="A114" s="36" t="s">
        <v>454</v>
      </c>
      <c r="B114" s="179" t="s">
        <v>1364</v>
      </c>
      <c r="C114" s="124" t="s">
        <v>1365</v>
      </c>
      <c r="D114" s="95">
        <v>828.68831607331845</v>
      </c>
    </row>
    <row r="115" spans="1:6" x14ac:dyDescent="0.2">
      <c r="A115" s="36" t="s">
        <v>455</v>
      </c>
      <c r="B115" s="177" t="s">
        <v>1366</v>
      </c>
      <c r="C115" s="124" t="s">
        <v>1367</v>
      </c>
      <c r="D115" s="95">
        <v>896.31292232962312</v>
      </c>
    </row>
    <row r="116" spans="1:6" x14ac:dyDescent="0.2">
      <c r="A116" s="36" t="s">
        <v>456</v>
      </c>
      <c r="B116" s="178" t="s">
        <v>1368</v>
      </c>
      <c r="C116" s="150" t="s">
        <v>1369</v>
      </c>
      <c r="D116" s="95">
        <v>902.29033325513637</v>
      </c>
    </row>
    <row r="117" spans="1:6" x14ac:dyDescent="0.2">
      <c r="A117" s="36" t="s">
        <v>457</v>
      </c>
      <c r="B117" s="178" t="s">
        <v>1370</v>
      </c>
      <c r="C117" s="150" t="s">
        <v>1371</v>
      </c>
      <c r="D117" s="95">
        <v>598.8020234785954</v>
      </c>
    </row>
    <row r="118" spans="1:6" x14ac:dyDescent="0.2">
      <c r="A118" s="36" t="s">
        <v>825</v>
      </c>
      <c r="B118" s="178" t="s">
        <v>1372</v>
      </c>
      <c r="C118" s="150" t="s">
        <v>1373</v>
      </c>
      <c r="D118" s="95">
        <v>886.38966425513627</v>
      </c>
    </row>
    <row r="119" spans="1:6" x14ac:dyDescent="0.2">
      <c r="A119" s="36" t="s">
        <v>826</v>
      </c>
      <c r="B119" s="177" t="s">
        <v>1374</v>
      </c>
      <c r="C119" s="124" t="s">
        <v>1375</v>
      </c>
      <c r="D119" s="95">
        <v>371.67532186745007</v>
      </c>
    </row>
    <row r="120" spans="1:6" x14ac:dyDescent="0.2">
      <c r="A120" s="36" t="s">
        <v>458</v>
      </c>
      <c r="B120" s="177" t="s">
        <v>1376</v>
      </c>
      <c r="C120" s="124" t="s">
        <v>1377</v>
      </c>
      <c r="D120" s="95">
        <v>444.2170739747819</v>
      </c>
    </row>
    <row r="121" spans="1:6" x14ac:dyDescent="0.2">
      <c r="A121" s="36" t="s">
        <v>459</v>
      </c>
      <c r="B121" s="178" t="s">
        <v>1378</v>
      </c>
      <c r="C121" s="150" t="s">
        <v>1379</v>
      </c>
      <c r="D121" s="95">
        <v>488.96841706569091</v>
      </c>
    </row>
    <row r="122" spans="1:6" x14ac:dyDescent="0.2">
      <c r="A122" s="36" t="s">
        <v>460</v>
      </c>
      <c r="B122" s="177" t="s">
        <v>1380</v>
      </c>
      <c r="C122" s="150" t="s">
        <v>1381</v>
      </c>
      <c r="D122" s="95">
        <v>377.03856976011821</v>
      </c>
    </row>
    <row r="123" spans="1:6" x14ac:dyDescent="0.2">
      <c r="A123" s="36" t="s">
        <v>861</v>
      </c>
      <c r="B123" s="177" t="s">
        <v>1382</v>
      </c>
      <c r="C123" s="150" t="s">
        <v>1383</v>
      </c>
      <c r="D123" s="95">
        <v>549.79851926393189</v>
      </c>
    </row>
    <row r="124" spans="1:6" x14ac:dyDescent="0.2">
      <c r="A124" s="36" t="s">
        <v>463</v>
      </c>
      <c r="B124" s="181" t="s">
        <v>1384</v>
      </c>
      <c r="C124" s="150" t="s">
        <v>1385</v>
      </c>
      <c r="D124" s="95">
        <v>243.17096756187732</v>
      </c>
    </row>
    <row r="125" spans="1:6" x14ac:dyDescent="0.2">
      <c r="A125" s="194" t="s">
        <v>464</v>
      </c>
      <c r="B125" s="182" t="s">
        <v>1386</v>
      </c>
      <c r="C125" s="150" t="s">
        <v>1387</v>
      </c>
      <c r="D125" s="95">
        <v>278.07513568563184</v>
      </c>
    </row>
    <row r="126" spans="1:6" s="6" customFormat="1" x14ac:dyDescent="0.2">
      <c r="A126" s="35"/>
      <c r="B126" s="171" t="s">
        <v>108</v>
      </c>
      <c r="C126" s="167"/>
      <c r="D126" s="95"/>
      <c r="E126" s="48"/>
      <c r="F126" s="16"/>
    </row>
    <row r="127" spans="1:6" ht="31.5" x14ac:dyDescent="0.2">
      <c r="A127" s="195" t="s">
        <v>465</v>
      </c>
      <c r="B127" s="147" t="s">
        <v>1481</v>
      </c>
      <c r="C127" s="150" t="s">
        <v>1914</v>
      </c>
      <c r="D127" s="95">
        <v>700.64851437323921</v>
      </c>
    </row>
    <row r="128" spans="1:6" ht="31.5" x14ac:dyDescent="0.2">
      <c r="A128" s="36" t="s">
        <v>466</v>
      </c>
      <c r="B128" s="180" t="s">
        <v>1274</v>
      </c>
      <c r="C128" s="150" t="s">
        <v>1275</v>
      </c>
      <c r="D128" s="95">
        <v>437.28443727272725</v>
      </c>
    </row>
    <row r="129" spans="1:6" x14ac:dyDescent="0.2">
      <c r="A129" s="36" t="s">
        <v>467</v>
      </c>
      <c r="B129" s="180" t="s">
        <v>1272</v>
      </c>
      <c r="C129" s="150" t="s">
        <v>1273</v>
      </c>
      <c r="D129" s="95">
        <v>601.79216671253346</v>
      </c>
    </row>
    <row r="130" spans="1:6" x14ac:dyDescent="0.2">
      <c r="A130" s="36" t="s">
        <v>468</v>
      </c>
      <c r="B130" s="180" t="s">
        <v>1276</v>
      </c>
      <c r="C130" s="150" t="s">
        <v>1277</v>
      </c>
      <c r="D130" s="95">
        <v>549.39635958251745</v>
      </c>
    </row>
    <row r="131" spans="1:6" x14ac:dyDescent="0.2">
      <c r="A131" s="36" t="s">
        <v>469</v>
      </c>
      <c r="B131" s="182" t="s">
        <v>1270</v>
      </c>
      <c r="C131" s="151" t="s">
        <v>1271</v>
      </c>
      <c r="D131" s="95">
        <v>149.29380264803652</v>
      </c>
    </row>
    <row r="132" spans="1:6" x14ac:dyDescent="0.2">
      <c r="A132" s="36" t="s">
        <v>470</v>
      </c>
      <c r="B132" s="183" t="s">
        <v>1278</v>
      </c>
      <c r="C132" s="151" t="s">
        <v>1279</v>
      </c>
      <c r="D132" s="95">
        <v>804.78786933712115</v>
      </c>
    </row>
    <row r="133" spans="1:6" x14ac:dyDescent="0.2">
      <c r="A133" s="36" t="s">
        <v>471</v>
      </c>
      <c r="B133" s="182" t="s">
        <v>1280</v>
      </c>
      <c r="C133" s="151" t="s">
        <v>1281</v>
      </c>
      <c r="D133" s="95">
        <v>837.16607779491358</v>
      </c>
    </row>
    <row r="134" spans="1:6" x14ac:dyDescent="0.2">
      <c r="A134" s="36" t="s">
        <v>472</v>
      </c>
      <c r="B134" s="178" t="s">
        <v>1282</v>
      </c>
      <c r="C134" s="150" t="s">
        <v>1283</v>
      </c>
      <c r="D134" s="95">
        <v>442.5151563172542</v>
      </c>
    </row>
    <row r="135" spans="1:6" ht="31.5" x14ac:dyDescent="0.2">
      <c r="A135" s="36" t="s">
        <v>473</v>
      </c>
      <c r="B135" s="177" t="s">
        <v>1284</v>
      </c>
      <c r="C135" s="124" t="s">
        <v>1285</v>
      </c>
      <c r="D135" s="95">
        <v>756.0923765893632</v>
      </c>
    </row>
    <row r="136" spans="1:6" x14ac:dyDescent="0.2">
      <c r="A136" s="36" t="s">
        <v>474</v>
      </c>
      <c r="B136" s="179" t="s">
        <v>1286</v>
      </c>
      <c r="C136" s="124" t="s">
        <v>1287</v>
      </c>
      <c r="D136" s="95">
        <v>1898.0099470918367</v>
      </c>
      <c r="E136" s="5"/>
      <c r="F136" s="5"/>
    </row>
    <row r="137" spans="1:6" ht="45" x14ac:dyDescent="0.2">
      <c r="A137" s="36" t="s">
        <v>475</v>
      </c>
      <c r="B137" s="184" t="s">
        <v>1288</v>
      </c>
      <c r="C137" s="149" t="s">
        <v>1289</v>
      </c>
      <c r="D137" s="95">
        <v>490.2117794409013</v>
      </c>
      <c r="E137" s="5"/>
      <c r="F137" s="5"/>
    </row>
    <row r="138" spans="1:6" x14ac:dyDescent="0.2">
      <c r="A138" s="36" t="s">
        <v>476</v>
      </c>
      <c r="B138" s="185" t="s">
        <v>1290</v>
      </c>
      <c r="C138" s="150" t="s">
        <v>1915</v>
      </c>
      <c r="D138" s="95">
        <v>546.91543994704705</v>
      </c>
      <c r="E138" s="5"/>
      <c r="F138" s="5"/>
    </row>
    <row r="139" spans="1:6" x14ac:dyDescent="0.2">
      <c r="A139" s="36" t="s">
        <v>477</v>
      </c>
      <c r="B139" s="179" t="s">
        <v>102</v>
      </c>
      <c r="C139" s="124" t="s">
        <v>1291</v>
      </c>
      <c r="D139" s="95">
        <v>1400.4001027770046</v>
      </c>
      <c r="E139" s="5"/>
      <c r="F139" s="5"/>
    </row>
    <row r="140" spans="1:6" x14ac:dyDescent="0.2">
      <c r="A140" s="36" t="s">
        <v>478</v>
      </c>
      <c r="B140" s="180" t="s">
        <v>1292</v>
      </c>
      <c r="C140" s="150" t="s">
        <v>1293</v>
      </c>
      <c r="D140" s="95">
        <v>2199.6702207123963</v>
      </c>
      <c r="E140" s="5"/>
      <c r="F140" s="5"/>
    </row>
    <row r="141" spans="1:6" x14ac:dyDescent="0.2">
      <c r="A141" s="36" t="s">
        <v>479</v>
      </c>
      <c r="B141" s="178" t="s">
        <v>1294</v>
      </c>
      <c r="C141" s="150" t="s">
        <v>1295</v>
      </c>
      <c r="D141" s="95">
        <v>821.73939444946927</v>
      </c>
      <c r="E141" s="5"/>
      <c r="F141" s="5"/>
    </row>
    <row r="142" spans="1:6" x14ac:dyDescent="0.2">
      <c r="A142" s="36" t="s">
        <v>480</v>
      </c>
      <c r="B142" s="178" t="s">
        <v>1482</v>
      </c>
      <c r="C142" s="150" t="s">
        <v>1916</v>
      </c>
      <c r="D142" s="95">
        <v>862.98020022869014</v>
      </c>
      <c r="E142" s="5"/>
      <c r="F142" s="5"/>
    </row>
    <row r="143" spans="1:6" x14ac:dyDescent="0.2">
      <c r="A143" s="36" t="s">
        <v>481</v>
      </c>
      <c r="B143" s="178" t="s">
        <v>1296</v>
      </c>
      <c r="C143" s="150" t="s">
        <v>1297</v>
      </c>
      <c r="D143" s="95">
        <v>290.78189955067262</v>
      </c>
      <c r="E143" s="5"/>
      <c r="F143" s="5"/>
    </row>
    <row r="144" spans="1:6" x14ac:dyDescent="0.2">
      <c r="A144" s="36" t="s">
        <v>482</v>
      </c>
      <c r="B144" s="180" t="s">
        <v>1298</v>
      </c>
      <c r="C144" s="150" t="s">
        <v>1299</v>
      </c>
      <c r="D144" s="95">
        <v>973.92350018398258</v>
      </c>
      <c r="E144" s="5"/>
      <c r="F144" s="5"/>
    </row>
    <row r="145" spans="1:6" x14ac:dyDescent="0.2">
      <c r="A145" s="36" t="s">
        <v>483</v>
      </c>
      <c r="B145" s="180" t="s">
        <v>1300</v>
      </c>
      <c r="C145" s="150" t="s">
        <v>1301</v>
      </c>
      <c r="D145" s="95">
        <v>1427.5723637554111</v>
      </c>
      <c r="E145" s="5"/>
      <c r="F145" s="5"/>
    </row>
    <row r="146" spans="1:6" x14ac:dyDescent="0.2">
      <c r="A146" s="36" t="s">
        <v>484</v>
      </c>
      <c r="B146" s="180" t="s">
        <v>1388</v>
      </c>
      <c r="C146" s="150" t="s">
        <v>1389</v>
      </c>
      <c r="D146" s="95">
        <v>650.03473485192058</v>
      </c>
      <c r="E146" s="5"/>
      <c r="F146" s="5"/>
    </row>
    <row r="147" spans="1:6" x14ac:dyDescent="0.2">
      <c r="A147" s="36" t="s">
        <v>485</v>
      </c>
      <c r="B147" s="180" t="s">
        <v>1390</v>
      </c>
      <c r="C147" s="150" t="s">
        <v>1391</v>
      </c>
      <c r="D147" s="95">
        <v>691.27554063114133</v>
      </c>
      <c r="E147" s="5"/>
      <c r="F147" s="5"/>
    </row>
    <row r="148" spans="1:6" x14ac:dyDescent="0.2">
      <c r="A148" s="36" t="s">
        <v>486</v>
      </c>
      <c r="B148" s="186" t="s">
        <v>1392</v>
      </c>
      <c r="C148" s="152" t="s">
        <v>1393</v>
      </c>
      <c r="D148" s="95">
        <v>419.82088283764512</v>
      </c>
      <c r="E148" s="5"/>
      <c r="F148" s="5"/>
    </row>
    <row r="149" spans="1:6" x14ac:dyDescent="0.2">
      <c r="A149" s="36" t="s">
        <v>487</v>
      </c>
      <c r="B149" s="187" t="s">
        <v>1394</v>
      </c>
      <c r="C149" s="190" t="s">
        <v>1395</v>
      </c>
      <c r="D149" s="95">
        <v>419.82088283764512</v>
      </c>
      <c r="E149" s="5"/>
      <c r="F149" s="5"/>
    </row>
    <row r="150" spans="1:6" ht="19.5" customHeight="1" x14ac:dyDescent="0.2">
      <c r="A150" s="36" t="s">
        <v>488</v>
      </c>
      <c r="B150" s="187" t="s">
        <v>247</v>
      </c>
      <c r="C150" s="190" t="s">
        <v>1396</v>
      </c>
      <c r="D150" s="95">
        <v>587.04371944023569</v>
      </c>
      <c r="E150" s="5"/>
      <c r="F150" s="5"/>
    </row>
    <row r="151" spans="1:6" ht="19.5" customHeight="1" x14ac:dyDescent="0.2">
      <c r="A151" s="36" t="s">
        <v>489</v>
      </c>
      <c r="B151" s="186" t="s">
        <v>1397</v>
      </c>
      <c r="C151" s="152" t="s">
        <v>1398</v>
      </c>
      <c r="D151" s="95">
        <v>710.76613677789794</v>
      </c>
      <c r="E151" s="5"/>
      <c r="F151" s="5"/>
    </row>
    <row r="152" spans="1:6" ht="18.75" customHeight="1" x14ac:dyDescent="0.2">
      <c r="A152" s="36" t="s">
        <v>490</v>
      </c>
      <c r="B152" s="184" t="s">
        <v>1399</v>
      </c>
      <c r="C152" s="153" t="s">
        <v>1400</v>
      </c>
      <c r="D152" s="95">
        <v>1825.1138180414694</v>
      </c>
      <c r="E152" s="5"/>
      <c r="F152" s="5"/>
    </row>
    <row r="153" spans="1:6" ht="23.25" customHeight="1" x14ac:dyDescent="0.2">
      <c r="A153" s="36" t="s">
        <v>491</v>
      </c>
      <c r="B153" s="186" t="s">
        <v>1401</v>
      </c>
      <c r="C153" s="152" t="s">
        <v>1402</v>
      </c>
      <c r="D153" s="95">
        <v>1846.8640276739336</v>
      </c>
    </row>
    <row r="154" spans="1:6" ht="21.75" customHeight="1" x14ac:dyDescent="0.2">
      <c r="A154" s="36" t="s">
        <v>492</v>
      </c>
      <c r="B154" s="184" t="s">
        <v>1403</v>
      </c>
      <c r="C154" s="153" t="s">
        <v>1404</v>
      </c>
      <c r="D154" s="95">
        <v>795.50736182204696</v>
      </c>
    </row>
    <row r="155" spans="1:6" ht="24" customHeight="1" x14ac:dyDescent="0.2">
      <c r="A155" s="36" t="s">
        <v>493</v>
      </c>
      <c r="B155" s="188" t="s">
        <v>1405</v>
      </c>
      <c r="C155" s="152" t="s">
        <v>1406</v>
      </c>
      <c r="D155" s="95">
        <v>994.62069842463734</v>
      </c>
    </row>
    <row r="156" spans="1:6" ht="26.25" customHeight="1" x14ac:dyDescent="0.2">
      <c r="A156" s="36" t="s">
        <v>494</v>
      </c>
      <c r="B156" s="181" t="s">
        <v>1407</v>
      </c>
      <c r="C156" s="150" t="s">
        <v>1408</v>
      </c>
      <c r="D156" s="95">
        <v>901.99879649865989</v>
      </c>
    </row>
    <row r="157" spans="1:6" ht="30" x14ac:dyDescent="0.2">
      <c r="A157" s="36" t="s">
        <v>495</v>
      </c>
      <c r="B157" s="184" t="s">
        <v>252</v>
      </c>
      <c r="C157" s="153" t="s">
        <v>1409</v>
      </c>
      <c r="D157" s="95">
        <v>587.04371944023569</v>
      </c>
    </row>
    <row r="158" spans="1:6" x14ac:dyDescent="0.2">
      <c r="A158" s="36" t="s">
        <v>496</v>
      </c>
      <c r="B158" s="180" t="s">
        <v>248</v>
      </c>
      <c r="C158" s="150" t="s">
        <v>1410</v>
      </c>
      <c r="D158" s="95">
        <v>545.80291366101494</v>
      </c>
    </row>
    <row r="159" spans="1:6" ht="19.5" customHeight="1" x14ac:dyDescent="0.2">
      <c r="A159" s="36" t="s">
        <v>497</v>
      </c>
      <c r="B159" s="180" t="s">
        <v>1411</v>
      </c>
      <c r="C159" s="150" t="s">
        <v>1412</v>
      </c>
      <c r="D159" s="95">
        <v>1214.6942600713769</v>
      </c>
    </row>
    <row r="160" spans="1:6" ht="18.75" customHeight="1" x14ac:dyDescent="0.2">
      <c r="A160" s="36" t="s">
        <v>498</v>
      </c>
      <c r="B160" s="181" t="s">
        <v>1413</v>
      </c>
      <c r="C160" s="150" t="s">
        <v>1414</v>
      </c>
      <c r="D160" s="95">
        <v>1822.8542045557617</v>
      </c>
    </row>
    <row r="161" spans="1:6" ht="24" customHeight="1" x14ac:dyDescent="0.2">
      <c r="A161" s="36" t="s">
        <v>499</v>
      </c>
      <c r="B161" s="186" t="s">
        <v>1415</v>
      </c>
      <c r="C161" s="152" t="s">
        <v>1416</v>
      </c>
      <c r="D161" s="95">
        <v>858.49837723373173</v>
      </c>
    </row>
    <row r="162" spans="1:6" ht="23.25" customHeight="1" x14ac:dyDescent="0.2">
      <c r="A162" s="36" t="s">
        <v>500</v>
      </c>
      <c r="B162" s="181" t="s">
        <v>1417</v>
      </c>
      <c r="C162" s="150" t="s">
        <v>1418</v>
      </c>
      <c r="D162" s="95">
        <v>1762.1228026297842</v>
      </c>
    </row>
    <row r="163" spans="1:6" ht="19.5" customHeight="1" x14ac:dyDescent="0.2">
      <c r="A163" s="36" t="s">
        <v>501</v>
      </c>
      <c r="B163" s="189" t="s">
        <v>1419</v>
      </c>
      <c r="C163" s="190" t="s">
        <v>1420</v>
      </c>
      <c r="D163" s="95">
        <v>710.76613677789794</v>
      </c>
    </row>
    <row r="164" spans="1:6" ht="25.5" customHeight="1" x14ac:dyDescent="0.2">
      <c r="A164" s="36" t="s">
        <v>502</v>
      </c>
      <c r="B164" s="186" t="s">
        <v>1421</v>
      </c>
      <c r="C164" s="152" t="s">
        <v>1422</v>
      </c>
      <c r="D164" s="95">
        <v>691.27554063114133</v>
      </c>
    </row>
    <row r="165" spans="1:6" x14ac:dyDescent="0.2">
      <c r="A165" s="36" t="s">
        <v>503</v>
      </c>
      <c r="B165" s="181" t="s">
        <v>1423</v>
      </c>
      <c r="C165" s="150" t="s">
        <v>1424</v>
      </c>
      <c r="D165" s="95">
        <v>1173.4534542921563</v>
      </c>
    </row>
    <row r="166" spans="1:6" ht="21.75" customHeight="1" x14ac:dyDescent="0.2">
      <c r="A166" s="36" t="s">
        <v>504</v>
      </c>
      <c r="B166" s="184" t="s">
        <v>1425</v>
      </c>
      <c r="C166" s="153" t="s">
        <v>1426</v>
      </c>
      <c r="D166" s="95">
        <v>2392.0329567466333</v>
      </c>
    </row>
    <row r="167" spans="1:6" ht="22.5" customHeight="1" x14ac:dyDescent="0.2">
      <c r="A167" s="36" t="s">
        <v>505</v>
      </c>
      <c r="B167" s="186" t="s">
        <v>1427</v>
      </c>
      <c r="C167" s="152" t="s">
        <v>1428</v>
      </c>
      <c r="D167" s="95">
        <v>2392.0329567466333</v>
      </c>
    </row>
    <row r="168" spans="1:6" ht="27" customHeight="1" x14ac:dyDescent="0.2">
      <c r="A168" s="36" t="s">
        <v>506</v>
      </c>
      <c r="B168" s="186" t="s">
        <v>1429</v>
      </c>
      <c r="C168" s="152" t="s">
        <v>1430</v>
      </c>
      <c r="D168" s="95">
        <v>2392.0329567466333</v>
      </c>
    </row>
    <row r="169" spans="1:6" ht="23.25" customHeight="1" x14ac:dyDescent="0.2">
      <c r="A169" s="36" t="s">
        <v>507</v>
      </c>
      <c r="B169" s="180" t="s">
        <v>1431</v>
      </c>
      <c r="C169" s="150" t="s">
        <v>1432</v>
      </c>
      <c r="D169" s="95">
        <v>2392.0329567466333</v>
      </c>
    </row>
    <row r="170" spans="1:6" ht="31.5" x14ac:dyDescent="0.2">
      <c r="A170" s="36" t="s">
        <v>508</v>
      </c>
      <c r="B170" s="179" t="s">
        <v>1433</v>
      </c>
      <c r="C170" s="124" t="s">
        <v>1434</v>
      </c>
      <c r="D170" s="95">
        <v>1340.6762908947467</v>
      </c>
    </row>
    <row r="171" spans="1:6" ht="31.5" x14ac:dyDescent="0.2">
      <c r="A171" s="36" t="s">
        <v>509</v>
      </c>
      <c r="B171" s="179" t="s">
        <v>1435</v>
      </c>
      <c r="C171" s="124" t="s">
        <v>1436</v>
      </c>
      <c r="D171" s="95">
        <v>2098.8280893206725</v>
      </c>
    </row>
    <row r="172" spans="1:6" x14ac:dyDescent="0.2">
      <c r="A172" s="36" t="s">
        <v>510</v>
      </c>
      <c r="B172" s="184" t="s">
        <v>300</v>
      </c>
      <c r="C172" s="153" t="s">
        <v>1437</v>
      </c>
      <c r="D172" s="95">
        <v>732.51634641036208</v>
      </c>
    </row>
    <row r="173" spans="1:6" ht="20.25" customHeight="1" x14ac:dyDescent="0.2">
      <c r="A173" s="36" t="s">
        <v>511</v>
      </c>
      <c r="B173" s="180" t="s">
        <v>1438</v>
      </c>
      <c r="C173" s="150" t="s">
        <v>1439</v>
      </c>
      <c r="D173" s="95">
        <v>710.76613677789794</v>
      </c>
    </row>
    <row r="174" spans="1:6" ht="19.5" customHeight="1" x14ac:dyDescent="0.2">
      <c r="A174" s="194" t="s">
        <v>512</v>
      </c>
      <c r="B174" s="187" t="s">
        <v>1440</v>
      </c>
      <c r="C174" s="152" t="s">
        <v>1441</v>
      </c>
      <c r="D174" s="95">
        <v>543.54330017530742</v>
      </c>
    </row>
    <row r="175" spans="1:6" s="6" customFormat="1" x14ac:dyDescent="0.2">
      <c r="A175" s="35"/>
      <c r="B175" s="171" t="s">
        <v>1507</v>
      </c>
      <c r="C175" s="167"/>
      <c r="D175" s="95"/>
      <c r="E175" s="48"/>
      <c r="F175" s="16"/>
    </row>
    <row r="176" spans="1:6" x14ac:dyDescent="0.2">
      <c r="A176" s="195" t="s">
        <v>513</v>
      </c>
      <c r="B176" s="174" t="s">
        <v>1508</v>
      </c>
      <c r="C176" s="160" t="s">
        <v>1509</v>
      </c>
      <c r="D176" s="95">
        <v>882.75014247642252</v>
      </c>
    </row>
    <row r="177" spans="1:6" x14ac:dyDescent="0.2">
      <c r="A177" s="36" t="s">
        <v>514</v>
      </c>
      <c r="B177" s="148" t="s">
        <v>1510</v>
      </c>
      <c r="C177" s="156" t="s">
        <v>1511</v>
      </c>
      <c r="D177" s="95">
        <v>882.75014247642252</v>
      </c>
    </row>
    <row r="178" spans="1:6" x14ac:dyDescent="0.2">
      <c r="A178" s="36" t="s">
        <v>515</v>
      </c>
      <c r="B178" s="148" t="s">
        <v>1512</v>
      </c>
      <c r="C178" s="161" t="s">
        <v>1513</v>
      </c>
      <c r="D178" s="95">
        <v>874.65413575342063</v>
      </c>
    </row>
    <row r="179" spans="1:6" x14ac:dyDescent="0.2">
      <c r="A179" s="36" t="s">
        <v>517</v>
      </c>
      <c r="B179" s="148" t="s">
        <v>1514</v>
      </c>
      <c r="C179" s="157" t="s">
        <v>1992</v>
      </c>
      <c r="D179" s="95">
        <v>866.5581290304192</v>
      </c>
    </row>
    <row r="180" spans="1:6" ht="16.5" customHeight="1" x14ac:dyDescent="0.2">
      <c r="A180" s="36" t="s">
        <v>522</v>
      </c>
      <c r="B180" s="148" t="s">
        <v>1515</v>
      </c>
      <c r="C180" s="156" t="s">
        <v>1516</v>
      </c>
      <c r="D180" s="95">
        <v>1000.5740024891776</v>
      </c>
    </row>
    <row r="181" spans="1:6" x14ac:dyDescent="0.2">
      <c r="A181" s="36" t="s">
        <v>523</v>
      </c>
      <c r="B181" s="148" t="s">
        <v>1517</v>
      </c>
      <c r="C181" s="161" t="s">
        <v>1518</v>
      </c>
      <c r="D181" s="95">
        <v>1504.3601421386054</v>
      </c>
    </row>
    <row r="182" spans="1:6" x14ac:dyDescent="0.2">
      <c r="A182" s="194" t="s">
        <v>524</v>
      </c>
      <c r="B182" s="175" t="s">
        <v>1519</v>
      </c>
      <c r="C182" s="156" t="s">
        <v>1520</v>
      </c>
      <c r="D182" s="95">
        <v>972.01881736304404</v>
      </c>
    </row>
    <row r="183" spans="1:6" s="6" customFormat="1" x14ac:dyDescent="0.2">
      <c r="A183" s="35"/>
      <c r="B183" s="171" t="s">
        <v>1521</v>
      </c>
      <c r="C183" s="167"/>
      <c r="D183" s="95"/>
      <c r="E183" s="48"/>
      <c r="F183" s="16"/>
    </row>
    <row r="184" spans="1:6" x14ac:dyDescent="0.2">
      <c r="A184" s="195" t="s">
        <v>897</v>
      </c>
      <c r="B184" s="192" t="s">
        <v>1522</v>
      </c>
      <c r="C184" s="160" t="s">
        <v>1523</v>
      </c>
      <c r="D184" s="95">
        <v>1258.4991733766233</v>
      </c>
    </row>
    <row r="185" spans="1:6" x14ac:dyDescent="0.2">
      <c r="A185" s="194" t="s">
        <v>525</v>
      </c>
      <c r="B185" s="175" t="s">
        <v>1524</v>
      </c>
      <c r="C185" s="160" t="s">
        <v>1525</v>
      </c>
      <c r="D185" s="95">
        <v>763.60950402597405</v>
      </c>
    </row>
    <row r="186" spans="1:6" s="6" customFormat="1" x14ac:dyDescent="0.2">
      <c r="A186" s="35"/>
      <c r="B186" s="171" t="s">
        <v>109</v>
      </c>
      <c r="C186" s="167"/>
      <c r="D186" s="95"/>
      <c r="E186" s="48"/>
      <c r="F186" s="16"/>
    </row>
    <row r="187" spans="1:6" x14ac:dyDescent="0.2">
      <c r="A187" s="195" t="s">
        <v>898</v>
      </c>
      <c r="B187" s="176" t="s">
        <v>1565</v>
      </c>
      <c r="C187" s="162" t="s">
        <v>1779</v>
      </c>
      <c r="D187" s="95">
        <v>539.56527521799626</v>
      </c>
    </row>
    <row r="188" spans="1:6" x14ac:dyDescent="0.2">
      <c r="A188" s="36" t="s">
        <v>899</v>
      </c>
      <c r="B188" s="127" t="s">
        <v>1566</v>
      </c>
      <c r="C188" s="159" t="s">
        <v>1567</v>
      </c>
      <c r="D188" s="95">
        <v>541.39593195410737</v>
      </c>
    </row>
    <row r="189" spans="1:6" ht="31.5" x14ac:dyDescent="0.2">
      <c r="A189" s="36" t="s">
        <v>900</v>
      </c>
      <c r="B189" s="127" t="s">
        <v>1568</v>
      </c>
      <c r="C189" s="159" t="s">
        <v>1569</v>
      </c>
      <c r="D189" s="95">
        <v>541.39593195410737</v>
      </c>
    </row>
    <row r="190" spans="1:6" ht="31.5" x14ac:dyDescent="0.2">
      <c r="A190" s="36" t="s">
        <v>526</v>
      </c>
      <c r="B190" s="127" t="s">
        <v>1570</v>
      </c>
      <c r="C190" s="159" t="s">
        <v>1571</v>
      </c>
      <c r="D190" s="95">
        <v>541.39593195410737</v>
      </c>
    </row>
    <row r="191" spans="1:6" ht="31.5" x14ac:dyDescent="0.2">
      <c r="A191" s="36" t="s">
        <v>527</v>
      </c>
      <c r="B191" s="127" t="s">
        <v>1572</v>
      </c>
      <c r="C191" s="159" t="s">
        <v>1573</v>
      </c>
      <c r="D191" s="95">
        <v>541.39593195410737</v>
      </c>
    </row>
    <row r="192" spans="1:6" ht="31.5" x14ac:dyDescent="0.2">
      <c r="A192" s="36" t="s">
        <v>528</v>
      </c>
      <c r="B192" s="127" t="s">
        <v>1574</v>
      </c>
      <c r="C192" s="159" t="s">
        <v>1575</v>
      </c>
      <c r="D192" s="95">
        <v>541.39593195410737</v>
      </c>
    </row>
    <row r="193" spans="1:6" ht="31.5" x14ac:dyDescent="0.2">
      <c r="A193" s="36" t="s">
        <v>529</v>
      </c>
      <c r="B193" s="127" t="s">
        <v>1576</v>
      </c>
      <c r="C193" s="159" t="s">
        <v>1577</v>
      </c>
      <c r="D193" s="95">
        <v>541.39593195410737</v>
      </c>
    </row>
    <row r="194" spans="1:6" ht="31.5" x14ac:dyDescent="0.2">
      <c r="A194" s="36" t="s">
        <v>530</v>
      </c>
      <c r="B194" s="127" t="s">
        <v>1578</v>
      </c>
      <c r="C194" s="159" t="s">
        <v>1579</v>
      </c>
      <c r="D194" s="95">
        <v>541.39593195410737</v>
      </c>
    </row>
    <row r="195" spans="1:6" ht="31.5" x14ac:dyDescent="0.2">
      <c r="A195" s="36" t="s">
        <v>901</v>
      </c>
      <c r="B195" s="127" t="s">
        <v>1580</v>
      </c>
      <c r="C195" s="159" t="s">
        <v>1581</v>
      </c>
      <c r="D195" s="95">
        <v>541.39593195410737</v>
      </c>
    </row>
    <row r="196" spans="1:6" ht="31.5" x14ac:dyDescent="0.2">
      <c r="A196" s="36" t="s">
        <v>531</v>
      </c>
      <c r="B196" s="127" t="s">
        <v>1582</v>
      </c>
      <c r="C196" s="159" t="s">
        <v>1583</v>
      </c>
      <c r="D196" s="95">
        <v>541.39593195410737</v>
      </c>
    </row>
    <row r="197" spans="1:6" ht="47.25" x14ac:dyDescent="0.2">
      <c r="A197" s="36" t="s">
        <v>532</v>
      </c>
      <c r="B197" s="127" t="s">
        <v>1584</v>
      </c>
      <c r="C197" s="159" t="s">
        <v>1585</v>
      </c>
      <c r="D197" s="95">
        <v>541.39593195410737</v>
      </c>
    </row>
    <row r="198" spans="1:6" ht="47.25" x14ac:dyDescent="0.2">
      <c r="A198" s="36" t="s">
        <v>533</v>
      </c>
      <c r="B198" s="127" t="s">
        <v>1586</v>
      </c>
      <c r="C198" s="159" t="s">
        <v>1587</v>
      </c>
      <c r="D198" s="95">
        <v>541.39593195410737</v>
      </c>
    </row>
    <row r="199" spans="1:6" ht="31.5" x14ac:dyDescent="0.2">
      <c r="A199" s="36" t="s">
        <v>534</v>
      </c>
      <c r="B199" s="127" t="s">
        <v>1588</v>
      </c>
      <c r="C199" s="159" t="s">
        <v>1589</v>
      </c>
      <c r="D199" s="95">
        <v>541.39593195410737</v>
      </c>
    </row>
    <row r="200" spans="1:6" x14ac:dyDescent="0.2">
      <c r="A200" s="36" t="s">
        <v>535</v>
      </c>
      <c r="B200" s="127" t="s">
        <v>1604</v>
      </c>
      <c r="C200" s="159" t="s">
        <v>1605</v>
      </c>
      <c r="D200" s="95">
        <v>489.77113815612</v>
      </c>
    </row>
    <row r="201" spans="1:6" x14ac:dyDescent="0.2">
      <c r="A201" s="36" t="s">
        <v>536</v>
      </c>
      <c r="B201" s="127" t="s">
        <v>1606</v>
      </c>
      <c r="C201" s="159" t="s">
        <v>1607</v>
      </c>
      <c r="D201" s="95">
        <v>489.77113815612</v>
      </c>
    </row>
    <row r="202" spans="1:6" ht="31.5" x14ac:dyDescent="0.2">
      <c r="A202" s="36" t="s">
        <v>537</v>
      </c>
      <c r="B202" s="127" t="s">
        <v>1610</v>
      </c>
      <c r="C202" s="159" t="s">
        <v>1611</v>
      </c>
      <c r="D202" s="95">
        <v>741.4804668951848</v>
      </c>
      <c r="E202" s="5"/>
      <c r="F202" s="5"/>
    </row>
    <row r="203" spans="1:6" x14ac:dyDescent="0.2">
      <c r="A203" s="36" t="s">
        <v>538</v>
      </c>
      <c r="B203" s="127" t="s">
        <v>1608</v>
      </c>
      <c r="C203" s="159" t="s">
        <v>1609</v>
      </c>
      <c r="D203" s="95">
        <v>489.77113815612</v>
      </c>
    </row>
    <row r="204" spans="1:6" x14ac:dyDescent="0.2">
      <c r="A204" s="36" t="s">
        <v>539</v>
      </c>
      <c r="B204" s="127" t="s">
        <v>1626</v>
      </c>
      <c r="C204" s="159" t="s">
        <v>1979</v>
      </c>
      <c r="D204" s="95">
        <v>838.46614945114413</v>
      </c>
      <c r="E204" s="5"/>
      <c r="F204" s="5"/>
    </row>
    <row r="205" spans="1:6" x14ac:dyDescent="0.2">
      <c r="A205" s="36" t="s">
        <v>540</v>
      </c>
      <c r="B205" s="127" t="s">
        <v>1627</v>
      </c>
      <c r="C205" s="159" t="s">
        <v>1628</v>
      </c>
      <c r="D205" s="95">
        <v>584.4838605465369</v>
      </c>
      <c r="E205" s="5"/>
      <c r="F205" s="5"/>
    </row>
    <row r="206" spans="1:6" x14ac:dyDescent="0.2">
      <c r="A206" s="36" t="s">
        <v>541</v>
      </c>
      <c r="B206" s="127" t="s">
        <v>1629</v>
      </c>
      <c r="C206" s="159" t="s">
        <v>1630</v>
      </c>
      <c r="D206" s="95">
        <v>584.4838605465369</v>
      </c>
      <c r="E206" s="5"/>
      <c r="F206" s="5"/>
    </row>
    <row r="207" spans="1:6" ht="31.5" x14ac:dyDescent="0.2">
      <c r="A207" s="36" t="s">
        <v>542</v>
      </c>
      <c r="B207" s="127" t="s">
        <v>1631</v>
      </c>
      <c r="C207" s="159" t="s">
        <v>1632</v>
      </c>
      <c r="D207" s="95">
        <v>584.4838605465369</v>
      </c>
      <c r="E207" s="5"/>
      <c r="F207" s="5"/>
    </row>
    <row r="208" spans="1:6" ht="31.5" x14ac:dyDescent="0.2">
      <c r="A208" s="36" t="s">
        <v>543</v>
      </c>
      <c r="B208" s="127" t="s">
        <v>1633</v>
      </c>
      <c r="C208" s="159" t="s">
        <v>1634</v>
      </c>
      <c r="D208" s="95">
        <v>584.4838605465369</v>
      </c>
      <c r="E208" s="5"/>
      <c r="F208" s="5"/>
    </row>
    <row r="209" spans="1:6" ht="31.5" x14ac:dyDescent="0.2">
      <c r="A209" s="36" t="s">
        <v>544</v>
      </c>
      <c r="B209" s="127" t="s">
        <v>1635</v>
      </c>
      <c r="C209" s="159" t="s">
        <v>1636</v>
      </c>
      <c r="D209" s="95">
        <v>584.4838605465369</v>
      </c>
      <c r="E209" s="5"/>
      <c r="F209" s="5"/>
    </row>
    <row r="210" spans="1:6" ht="31.5" x14ac:dyDescent="0.2">
      <c r="A210" s="36" t="s">
        <v>545</v>
      </c>
      <c r="B210" s="127" t="s">
        <v>1624</v>
      </c>
      <c r="C210" s="159" t="s">
        <v>1625</v>
      </c>
      <c r="D210" s="95">
        <v>406.64658351409503</v>
      </c>
      <c r="E210" s="5"/>
      <c r="F210" s="5"/>
    </row>
    <row r="211" spans="1:6" x14ac:dyDescent="0.2">
      <c r="A211" s="36" t="s">
        <v>546</v>
      </c>
      <c r="B211" s="127" t="s">
        <v>1602</v>
      </c>
      <c r="C211" s="159" t="s">
        <v>1603</v>
      </c>
      <c r="D211" s="95">
        <v>616.18241037337657</v>
      </c>
      <c r="E211" s="5"/>
      <c r="F211" s="5"/>
    </row>
    <row r="212" spans="1:6" x14ac:dyDescent="0.2">
      <c r="A212" s="36" t="s">
        <v>547</v>
      </c>
      <c r="B212" s="127" t="s">
        <v>1590</v>
      </c>
      <c r="C212" s="159" t="s">
        <v>1591</v>
      </c>
      <c r="D212" s="95">
        <v>712.60328778215819</v>
      </c>
      <c r="E212" s="5"/>
      <c r="F212" s="5"/>
    </row>
    <row r="213" spans="1:6" ht="18.75" customHeight="1" x14ac:dyDescent="0.2">
      <c r="A213" s="36" t="s">
        <v>548</v>
      </c>
      <c r="B213" s="127" t="s">
        <v>1592</v>
      </c>
      <c r="C213" s="159" t="s">
        <v>1593</v>
      </c>
      <c r="D213" s="95">
        <v>437.69140884096066</v>
      </c>
      <c r="E213" s="5"/>
      <c r="F213" s="5"/>
    </row>
    <row r="214" spans="1:6" ht="31.5" x14ac:dyDescent="0.2">
      <c r="A214" s="36" t="s">
        <v>549</v>
      </c>
      <c r="B214" s="127" t="s">
        <v>1594</v>
      </c>
      <c r="C214" s="159" t="s">
        <v>1595</v>
      </c>
      <c r="D214" s="95">
        <v>590.84490360020266</v>
      </c>
      <c r="E214" s="5"/>
      <c r="F214" s="5"/>
    </row>
    <row r="215" spans="1:6" x14ac:dyDescent="0.2">
      <c r="A215" s="36" t="s">
        <v>550</v>
      </c>
      <c r="B215" s="127" t="s">
        <v>1596</v>
      </c>
      <c r="C215" s="159" t="s">
        <v>1597</v>
      </c>
      <c r="D215" s="95">
        <v>599.62968206959044</v>
      </c>
      <c r="E215" s="5"/>
      <c r="F215" s="5"/>
    </row>
    <row r="216" spans="1:6" ht="31.5" x14ac:dyDescent="0.2">
      <c r="A216" s="36" t="s">
        <v>551</v>
      </c>
      <c r="B216" s="127" t="s">
        <v>1598</v>
      </c>
      <c r="C216" s="159" t="s">
        <v>1599</v>
      </c>
      <c r="D216" s="95">
        <v>599.62968206959044</v>
      </c>
      <c r="E216" s="5"/>
      <c r="F216" s="5"/>
    </row>
    <row r="217" spans="1:6" ht="31.5" x14ac:dyDescent="0.2">
      <c r="A217" s="36" t="s">
        <v>902</v>
      </c>
      <c r="B217" s="127" t="s">
        <v>1600</v>
      </c>
      <c r="C217" s="159" t="s">
        <v>1601</v>
      </c>
      <c r="D217" s="95">
        <v>599.62968206959044</v>
      </c>
      <c r="E217" s="5"/>
      <c r="F217" s="5"/>
    </row>
    <row r="218" spans="1:6" ht="21.75" customHeight="1" x14ac:dyDescent="0.2">
      <c r="A218" s="36" t="s">
        <v>552</v>
      </c>
      <c r="B218" s="127" t="s">
        <v>1612</v>
      </c>
      <c r="C218" s="159" t="s">
        <v>1613</v>
      </c>
      <c r="D218" s="95">
        <v>483.21372474789348</v>
      </c>
      <c r="E218" s="5"/>
      <c r="F218" s="5"/>
    </row>
    <row r="219" spans="1:6" ht="31.5" x14ac:dyDescent="0.2">
      <c r="A219" s="36" t="s">
        <v>553</v>
      </c>
      <c r="B219" s="127" t="s">
        <v>1614</v>
      </c>
      <c r="C219" s="159" t="s">
        <v>1615</v>
      </c>
      <c r="D219" s="95">
        <v>483.21372474789348</v>
      </c>
      <c r="E219" s="5"/>
      <c r="F219" s="5"/>
    </row>
    <row r="220" spans="1:6" x14ac:dyDescent="0.2">
      <c r="A220" s="36" t="s">
        <v>903</v>
      </c>
      <c r="B220" s="127" t="s">
        <v>1616</v>
      </c>
      <c r="C220" s="159" t="s">
        <v>1617</v>
      </c>
      <c r="D220" s="95">
        <v>483.21372474789348</v>
      </c>
      <c r="E220" s="5"/>
      <c r="F220" s="5"/>
    </row>
    <row r="221" spans="1:6" ht="31.5" x14ac:dyDescent="0.2">
      <c r="A221" s="36" t="s">
        <v>554</v>
      </c>
      <c r="B221" s="127" t="s">
        <v>1618</v>
      </c>
      <c r="C221" s="159" t="s">
        <v>1619</v>
      </c>
      <c r="D221" s="95">
        <v>483.21372474789348</v>
      </c>
      <c r="E221" s="5"/>
      <c r="F221" s="5"/>
    </row>
    <row r="222" spans="1:6" ht="19.5" customHeight="1" x14ac:dyDescent="0.2">
      <c r="A222" s="36" t="s">
        <v>555</v>
      </c>
      <c r="B222" s="127" t="s">
        <v>1620</v>
      </c>
      <c r="C222" s="159" t="s">
        <v>1621</v>
      </c>
      <c r="D222" s="95">
        <v>483.21372474789348</v>
      </c>
      <c r="E222" s="5"/>
      <c r="F222" s="5"/>
    </row>
    <row r="223" spans="1:6" ht="20.25" customHeight="1" x14ac:dyDescent="0.2">
      <c r="A223" s="36" t="s">
        <v>556</v>
      </c>
      <c r="B223" s="127" t="s">
        <v>1622</v>
      </c>
      <c r="C223" s="159" t="s">
        <v>1623</v>
      </c>
      <c r="D223" s="95">
        <v>483.21372474789348</v>
      </c>
      <c r="E223" s="5"/>
      <c r="F223" s="5"/>
    </row>
    <row r="224" spans="1:6" s="6" customFormat="1" x14ac:dyDescent="0.2">
      <c r="A224" s="35"/>
      <c r="B224" s="171" t="s">
        <v>110</v>
      </c>
      <c r="C224" s="118"/>
      <c r="D224" s="95"/>
      <c r="E224" s="48"/>
      <c r="F224" s="16"/>
    </row>
    <row r="225" spans="1:6" x14ac:dyDescent="0.2">
      <c r="A225" s="36" t="s">
        <v>557</v>
      </c>
      <c r="B225" s="127" t="s">
        <v>1637</v>
      </c>
      <c r="C225" s="159" t="s">
        <v>1638</v>
      </c>
      <c r="D225" s="95">
        <v>355.5118758473339</v>
      </c>
    </row>
    <row r="226" spans="1:6" ht="18.75" customHeight="1" x14ac:dyDescent="0.2">
      <c r="A226" s="36" t="s">
        <v>904</v>
      </c>
      <c r="B226" s="127" t="s">
        <v>1639</v>
      </c>
      <c r="C226" s="159" t="s">
        <v>1640</v>
      </c>
      <c r="D226" s="95">
        <v>520.13013223993755</v>
      </c>
    </row>
    <row r="227" spans="1:6" x14ac:dyDescent="0.2">
      <c r="A227" s="36" t="s">
        <v>905</v>
      </c>
      <c r="B227" s="127" t="s">
        <v>1641</v>
      </c>
      <c r="C227" s="159" t="s">
        <v>1642</v>
      </c>
      <c r="D227" s="95">
        <v>448.89453876348523</v>
      </c>
    </row>
    <row r="228" spans="1:6" x14ac:dyDescent="0.2">
      <c r="A228" s="36" t="s">
        <v>558</v>
      </c>
      <c r="B228" s="127" t="s">
        <v>1643</v>
      </c>
      <c r="C228" s="159" t="s">
        <v>1644</v>
      </c>
      <c r="D228" s="95">
        <v>434.35126762721825</v>
      </c>
    </row>
    <row r="229" spans="1:6" s="6" customFormat="1" x14ac:dyDescent="0.2">
      <c r="A229" s="35"/>
      <c r="B229" s="171" t="s">
        <v>1645</v>
      </c>
      <c r="C229" s="118"/>
      <c r="D229" s="95"/>
      <c r="E229" s="48"/>
      <c r="F229" s="16"/>
    </row>
    <row r="230" spans="1:6" ht="31.5" x14ac:dyDescent="0.2">
      <c r="A230" s="36" t="s">
        <v>862</v>
      </c>
      <c r="B230" s="127" t="s">
        <v>1646</v>
      </c>
      <c r="C230" s="159" t="s">
        <v>1647</v>
      </c>
      <c r="D230" s="95">
        <v>715.3147274926132</v>
      </c>
    </row>
    <row r="231" spans="1:6" ht="31.5" x14ac:dyDescent="0.2">
      <c r="A231" s="36" t="s">
        <v>559</v>
      </c>
      <c r="B231" s="127" t="s">
        <v>1648</v>
      </c>
      <c r="C231" s="159" t="s">
        <v>1649</v>
      </c>
      <c r="D231" s="95">
        <v>715.3147274926132</v>
      </c>
    </row>
    <row r="232" spans="1:6" ht="31.5" x14ac:dyDescent="0.2">
      <c r="A232" s="36" t="s">
        <v>560</v>
      </c>
      <c r="B232" s="127" t="s">
        <v>1650</v>
      </c>
      <c r="C232" s="159" t="s">
        <v>1651</v>
      </c>
      <c r="D232" s="95">
        <v>715.3147274926132</v>
      </c>
    </row>
    <row r="233" spans="1:6" s="6" customFormat="1" x14ac:dyDescent="0.2">
      <c r="A233" s="35"/>
      <c r="B233" s="171" t="s">
        <v>1689</v>
      </c>
      <c r="C233" s="136"/>
      <c r="D233" s="95"/>
      <c r="E233" s="48"/>
      <c r="F233" s="16"/>
    </row>
    <row r="234" spans="1:6" ht="20.25" customHeight="1" x14ac:dyDescent="0.2">
      <c r="A234" s="36" t="s">
        <v>561</v>
      </c>
      <c r="B234" s="127" t="s">
        <v>1690</v>
      </c>
      <c r="C234" s="159" t="s">
        <v>1691</v>
      </c>
      <c r="D234" s="95">
        <v>1026.6161155844159</v>
      </c>
      <c r="E234" s="5"/>
      <c r="F234" s="5"/>
    </row>
    <row r="235" spans="1:6" ht="31.5" x14ac:dyDescent="0.2">
      <c r="A235" s="36" t="s">
        <v>562</v>
      </c>
      <c r="B235" s="127" t="s">
        <v>1692</v>
      </c>
      <c r="C235" s="159" t="s">
        <v>1693</v>
      </c>
      <c r="D235" s="95">
        <v>614.20805779220791</v>
      </c>
      <c r="E235" s="5"/>
      <c r="F235" s="5"/>
    </row>
    <row r="236" spans="1:6" ht="31.5" x14ac:dyDescent="0.2">
      <c r="A236" s="36" t="s">
        <v>563</v>
      </c>
      <c r="B236" s="127" t="s">
        <v>1694</v>
      </c>
      <c r="C236" s="159" t="s">
        <v>1695</v>
      </c>
      <c r="D236" s="95">
        <v>1026.6161155844159</v>
      </c>
      <c r="E236" s="5"/>
      <c r="F236" s="5"/>
    </row>
    <row r="237" spans="1:6" ht="31.5" x14ac:dyDescent="0.2">
      <c r="A237" s="36" t="s">
        <v>564</v>
      </c>
      <c r="B237" s="127" t="s">
        <v>1696</v>
      </c>
      <c r="C237" s="159" t="s">
        <v>1697</v>
      </c>
      <c r="D237" s="95">
        <v>614.20805779220791</v>
      </c>
      <c r="E237" s="5"/>
      <c r="F237" s="5"/>
    </row>
    <row r="238" spans="1:6" ht="31.5" x14ac:dyDescent="0.2">
      <c r="A238" s="36" t="s">
        <v>565</v>
      </c>
      <c r="B238" s="127" t="s">
        <v>1698</v>
      </c>
      <c r="C238" s="159" t="s">
        <v>1699</v>
      </c>
      <c r="D238" s="95">
        <v>1026.6161155844159</v>
      </c>
      <c r="E238" s="5"/>
      <c r="F238" s="5"/>
    </row>
    <row r="239" spans="1:6" ht="31.5" x14ac:dyDescent="0.2">
      <c r="A239" s="36" t="s">
        <v>566</v>
      </c>
      <c r="B239" s="127" t="s">
        <v>1700</v>
      </c>
      <c r="C239" s="159" t="s">
        <v>1701</v>
      </c>
      <c r="D239" s="95">
        <v>614.20805779220791</v>
      </c>
      <c r="E239" s="5"/>
      <c r="F239" s="5"/>
    </row>
    <row r="240" spans="1:6" ht="31.5" x14ac:dyDescent="0.2">
      <c r="A240" s="36" t="s">
        <v>567</v>
      </c>
      <c r="B240" s="127" t="s">
        <v>1702</v>
      </c>
      <c r="C240" s="159" t="s">
        <v>1703</v>
      </c>
      <c r="D240" s="95">
        <v>1026.6161155844159</v>
      </c>
      <c r="E240" s="5"/>
      <c r="F240" s="5"/>
    </row>
    <row r="241" spans="1:6" ht="31.5" x14ac:dyDescent="0.2">
      <c r="A241" s="36" t="s">
        <v>568</v>
      </c>
      <c r="B241" s="127" t="s">
        <v>1704</v>
      </c>
      <c r="C241" s="159" t="s">
        <v>1705</v>
      </c>
      <c r="D241" s="95">
        <v>614.20805779220791</v>
      </c>
      <c r="E241" s="5"/>
      <c r="F241" s="5"/>
    </row>
    <row r="242" spans="1:6" ht="31.5" x14ac:dyDescent="0.2">
      <c r="A242" s="36" t="s">
        <v>569</v>
      </c>
      <c r="B242" s="127" t="s">
        <v>1706</v>
      </c>
      <c r="C242" s="159" t="s">
        <v>1707</v>
      </c>
      <c r="D242" s="95">
        <v>1026.6161155844159</v>
      </c>
      <c r="E242" s="5"/>
      <c r="F242" s="5"/>
    </row>
    <row r="243" spans="1:6" ht="31.5" x14ac:dyDescent="0.2">
      <c r="A243" s="36" t="s">
        <v>570</v>
      </c>
      <c r="B243" s="127" t="s">
        <v>1708</v>
      </c>
      <c r="C243" s="159" t="s">
        <v>1709</v>
      </c>
      <c r="D243" s="95">
        <v>1026.6161155844159</v>
      </c>
      <c r="E243" s="5"/>
      <c r="F243" s="5"/>
    </row>
    <row r="244" spans="1:6" ht="31.5" x14ac:dyDescent="0.2">
      <c r="A244" s="36" t="s">
        <v>571</v>
      </c>
      <c r="B244" s="127" t="s">
        <v>1710</v>
      </c>
      <c r="C244" s="159" t="s">
        <v>1711</v>
      </c>
      <c r="D244" s="95">
        <v>614.20805779220791</v>
      </c>
      <c r="E244" s="5"/>
      <c r="F244" s="5"/>
    </row>
    <row r="245" spans="1:6" ht="31.5" x14ac:dyDescent="0.2">
      <c r="A245" s="36" t="s">
        <v>572</v>
      </c>
      <c r="B245" s="127" t="s">
        <v>1712</v>
      </c>
      <c r="C245" s="159" t="s">
        <v>1713</v>
      </c>
      <c r="D245" s="95">
        <v>1026.6161155844159</v>
      </c>
      <c r="E245" s="5"/>
      <c r="F245" s="5"/>
    </row>
    <row r="246" spans="1:6" ht="31.5" x14ac:dyDescent="0.2">
      <c r="A246" s="36" t="s">
        <v>573</v>
      </c>
      <c r="B246" s="127" t="s">
        <v>1714</v>
      </c>
      <c r="C246" s="159" t="s">
        <v>1715</v>
      </c>
      <c r="D246" s="95">
        <v>614.20805779220791</v>
      </c>
      <c r="E246" s="5"/>
      <c r="F246" s="5"/>
    </row>
    <row r="247" spans="1:6" ht="31.5" x14ac:dyDescent="0.2">
      <c r="A247" s="36" t="s">
        <v>574</v>
      </c>
      <c r="B247" s="127" t="s">
        <v>1716</v>
      </c>
      <c r="C247" s="159" t="s">
        <v>1717</v>
      </c>
      <c r="D247" s="95">
        <v>1026.6161155844159</v>
      </c>
      <c r="E247" s="5"/>
      <c r="F247" s="5"/>
    </row>
    <row r="248" spans="1:6" ht="31.5" x14ac:dyDescent="0.2">
      <c r="A248" s="36" t="s">
        <v>575</v>
      </c>
      <c r="B248" s="127" t="s">
        <v>1718</v>
      </c>
      <c r="C248" s="159" t="s">
        <v>1719</v>
      </c>
      <c r="D248" s="95">
        <v>614.20805779220791</v>
      </c>
      <c r="E248" s="5"/>
      <c r="F248" s="5"/>
    </row>
    <row r="249" spans="1:6" ht="31.5" x14ac:dyDescent="0.2">
      <c r="A249" s="36" t="s">
        <v>576</v>
      </c>
      <c r="B249" s="127" t="s">
        <v>1720</v>
      </c>
      <c r="C249" s="159" t="s">
        <v>1721</v>
      </c>
      <c r="D249" s="95">
        <v>1026.6161155844159</v>
      </c>
      <c r="E249" s="5"/>
      <c r="F249" s="5"/>
    </row>
    <row r="250" spans="1:6" ht="31.5" x14ac:dyDescent="0.2">
      <c r="A250" s="36" t="s">
        <v>577</v>
      </c>
      <c r="B250" s="127" t="s">
        <v>1722</v>
      </c>
      <c r="C250" s="159" t="s">
        <v>1723</v>
      </c>
      <c r="D250" s="95">
        <v>614.20805779220791</v>
      </c>
      <c r="E250" s="5"/>
      <c r="F250" s="5"/>
    </row>
    <row r="251" spans="1:6" ht="22.5" customHeight="1" x14ac:dyDescent="0.2">
      <c r="A251" s="36" t="s">
        <v>578</v>
      </c>
      <c r="B251" s="127" t="s">
        <v>1724</v>
      </c>
      <c r="C251" s="159" t="s">
        <v>1725</v>
      </c>
      <c r="D251" s="95">
        <v>820.41208668831155</v>
      </c>
      <c r="E251" s="5"/>
      <c r="F251" s="5"/>
    </row>
    <row r="252" spans="1:6" s="6" customFormat="1" x14ac:dyDescent="0.2">
      <c r="A252" s="35"/>
      <c r="B252" s="171" t="s">
        <v>1748</v>
      </c>
      <c r="C252" s="136"/>
      <c r="D252" s="95"/>
      <c r="E252" s="48"/>
      <c r="F252" s="16"/>
    </row>
    <row r="253" spans="1:6" ht="31.5" x14ac:dyDescent="0.2">
      <c r="A253" s="36" t="s">
        <v>579</v>
      </c>
      <c r="B253" s="127" t="s">
        <v>1749</v>
      </c>
      <c r="C253" s="159" t="s">
        <v>1750</v>
      </c>
      <c r="D253" s="95">
        <v>667.38189704474576</v>
      </c>
      <c r="E253" s="5"/>
      <c r="F253" s="5"/>
    </row>
    <row r="254" spans="1:6" ht="31.5" x14ac:dyDescent="0.2">
      <c r="A254" s="36" t="s">
        <v>580</v>
      </c>
      <c r="B254" s="127" t="s">
        <v>1751</v>
      </c>
      <c r="C254" s="159" t="s">
        <v>1752</v>
      </c>
      <c r="D254" s="95">
        <v>535.07080005056957</v>
      </c>
      <c r="E254" s="5"/>
      <c r="F254" s="5"/>
    </row>
    <row r="255" spans="1:6" ht="47.25" x14ac:dyDescent="0.2">
      <c r="A255" s="36" t="s">
        <v>581</v>
      </c>
      <c r="B255" s="127" t="s">
        <v>1753</v>
      </c>
      <c r="C255" s="159" t="s">
        <v>1754</v>
      </c>
      <c r="D255" s="95">
        <v>535.07080005056957</v>
      </c>
      <c r="E255" s="5"/>
      <c r="F255" s="5"/>
    </row>
    <row r="256" spans="1:6" ht="47.25" x14ac:dyDescent="0.2">
      <c r="A256" s="36" t="s">
        <v>582</v>
      </c>
      <c r="B256" s="127" t="s">
        <v>1755</v>
      </c>
      <c r="C256" s="159" t="s">
        <v>1756</v>
      </c>
      <c r="D256" s="95">
        <v>535.07080005056957</v>
      </c>
      <c r="E256" s="5"/>
      <c r="F256" s="5"/>
    </row>
    <row r="257" spans="1:6" ht="47.25" x14ac:dyDescent="0.2">
      <c r="A257" s="36" t="s">
        <v>583</v>
      </c>
      <c r="B257" s="127" t="s">
        <v>1757</v>
      </c>
      <c r="C257" s="159" t="s">
        <v>1758</v>
      </c>
      <c r="D257" s="95">
        <v>535.07080005056957</v>
      </c>
      <c r="E257" s="5"/>
      <c r="F257" s="5"/>
    </row>
    <row r="258" spans="1:6" s="6" customFormat="1" x14ac:dyDescent="0.2">
      <c r="A258" s="35"/>
      <c r="B258" s="171" t="s">
        <v>1759</v>
      </c>
      <c r="C258" s="136"/>
      <c r="D258" s="95"/>
      <c r="E258" s="48"/>
      <c r="F258" s="16"/>
    </row>
    <row r="259" spans="1:6" ht="31.5" x14ac:dyDescent="0.2">
      <c r="A259" s="36" t="s">
        <v>584</v>
      </c>
      <c r="B259" s="127" t="s">
        <v>1760</v>
      </c>
      <c r="C259" s="159" t="s">
        <v>1761</v>
      </c>
      <c r="D259" s="95">
        <v>899.13989281076056</v>
      </c>
      <c r="E259" s="5"/>
      <c r="F259" s="5"/>
    </row>
    <row r="260" spans="1:6" ht="25.5" customHeight="1" x14ac:dyDescent="0.2">
      <c r="A260" s="36" t="s">
        <v>585</v>
      </c>
      <c r="B260" s="127" t="s">
        <v>1762</v>
      </c>
      <c r="C260" s="159" t="s">
        <v>1763</v>
      </c>
      <c r="D260" s="95">
        <v>1399.8238859771182</v>
      </c>
      <c r="E260" s="5"/>
      <c r="F260" s="5"/>
    </row>
    <row r="261" spans="1:6" ht="47.25" x14ac:dyDescent="0.2">
      <c r="A261" s="36" t="s">
        <v>586</v>
      </c>
      <c r="B261" s="127" t="s">
        <v>1764</v>
      </c>
      <c r="C261" s="159" t="s">
        <v>1765</v>
      </c>
      <c r="D261" s="95">
        <v>1399.8238859771182</v>
      </c>
      <c r="E261" s="5"/>
      <c r="F261" s="5"/>
    </row>
    <row r="262" spans="1:6" ht="20.25" customHeight="1" x14ac:dyDescent="0.2">
      <c r="A262" s="36" t="s">
        <v>587</v>
      </c>
      <c r="B262" s="127" t="s">
        <v>1766</v>
      </c>
      <c r="C262" s="159" t="s">
        <v>1767</v>
      </c>
      <c r="D262" s="95">
        <v>2241.9977284539273</v>
      </c>
      <c r="E262" s="5"/>
      <c r="F262" s="5"/>
    </row>
    <row r="263" spans="1:6" s="6" customFormat="1" x14ac:dyDescent="0.2">
      <c r="A263" s="36"/>
      <c r="B263" s="166" t="s">
        <v>1768</v>
      </c>
      <c r="C263" s="136"/>
      <c r="D263" s="95"/>
      <c r="E263" s="48"/>
      <c r="F263" s="16"/>
    </row>
    <row r="264" spans="1:6" ht="31.5" x14ac:dyDescent="0.2">
      <c r="A264" s="36" t="s">
        <v>588</v>
      </c>
      <c r="B264" s="127" t="s">
        <v>1769</v>
      </c>
      <c r="C264" s="159" t="s">
        <v>1770</v>
      </c>
      <c r="D264" s="95">
        <v>1285.2920163471449</v>
      </c>
      <c r="E264" s="5"/>
      <c r="F264" s="5"/>
    </row>
    <row r="265" spans="1:6" ht="31.5" x14ac:dyDescent="0.2">
      <c r="A265" s="36" t="s">
        <v>589</v>
      </c>
      <c r="B265" s="127" t="s">
        <v>1771</v>
      </c>
      <c r="C265" s="159" t="s">
        <v>1772</v>
      </c>
      <c r="D265" s="95">
        <v>1285.2920163471449</v>
      </c>
      <c r="E265" s="5"/>
      <c r="F265" s="5"/>
    </row>
    <row r="266" spans="1:6" s="6" customFormat="1" x14ac:dyDescent="0.2">
      <c r="A266" s="35"/>
      <c r="B266" s="171" t="s">
        <v>1726</v>
      </c>
      <c r="C266" s="136"/>
      <c r="D266" s="95"/>
      <c r="E266" s="48"/>
      <c r="F266" s="16"/>
    </row>
    <row r="267" spans="1:6" x14ac:dyDescent="0.2">
      <c r="A267" s="36" t="s">
        <v>590</v>
      </c>
      <c r="B267" s="127" t="s">
        <v>1727</v>
      </c>
      <c r="C267" s="159" t="s">
        <v>1728</v>
      </c>
      <c r="D267" s="95">
        <v>985.375309805195</v>
      </c>
      <c r="E267" s="5"/>
      <c r="F267" s="5"/>
    </row>
    <row r="268" spans="1:6" ht="31.5" x14ac:dyDescent="0.2">
      <c r="A268" s="36" t="s">
        <v>591</v>
      </c>
      <c r="B268" s="127" t="s">
        <v>1729</v>
      </c>
      <c r="C268" s="159" t="s">
        <v>1730</v>
      </c>
      <c r="D268" s="95">
        <v>985.375309805195</v>
      </c>
      <c r="E268" s="5"/>
      <c r="F268" s="5"/>
    </row>
    <row r="269" spans="1:6" ht="31.5" x14ac:dyDescent="0.2">
      <c r="A269" s="36" t="s">
        <v>592</v>
      </c>
      <c r="B269" s="127" t="s">
        <v>1731</v>
      </c>
      <c r="C269" s="159" t="s">
        <v>1732</v>
      </c>
      <c r="D269" s="95">
        <v>985.375309805195</v>
      </c>
      <c r="E269" s="5"/>
      <c r="F269" s="5"/>
    </row>
    <row r="270" spans="1:6" ht="31.5" x14ac:dyDescent="0.2">
      <c r="A270" s="36" t="s">
        <v>593</v>
      </c>
      <c r="B270" s="127" t="s">
        <v>1733</v>
      </c>
      <c r="C270" s="159" t="s">
        <v>1734</v>
      </c>
      <c r="D270" s="95">
        <v>985.375309805195</v>
      </c>
      <c r="E270" s="5"/>
      <c r="F270" s="5"/>
    </row>
    <row r="271" spans="1:6" ht="31.5" x14ac:dyDescent="0.2">
      <c r="A271" s="36" t="s">
        <v>594</v>
      </c>
      <c r="B271" s="127" t="s">
        <v>1735</v>
      </c>
      <c r="C271" s="159" t="s">
        <v>1736</v>
      </c>
      <c r="D271" s="95">
        <v>1274.0609502597404</v>
      </c>
      <c r="E271" s="5"/>
      <c r="F271" s="5"/>
    </row>
    <row r="272" spans="1:6" ht="31.5" x14ac:dyDescent="0.2">
      <c r="A272" s="36" t="s">
        <v>595</v>
      </c>
      <c r="B272" s="127" t="s">
        <v>1737</v>
      </c>
      <c r="C272" s="159" t="s">
        <v>1738</v>
      </c>
      <c r="D272" s="95">
        <v>985.375309805195</v>
      </c>
      <c r="E272" s="5"/>
      <c r="F272" s="5"/>
    </row>
    <row r="273" spans="1:6" ht="31.5" x14ac:dyDescent="0.2">
      <c r="A273" s="36" t="s">
        <v>596</v>
      </c>
      <c r="B273" s="127" t="s">
        <v>1739</v>
      </c>
      <c r="C273" s="159" t="s">
        <v>1740</v>
      </c>
      <c r="D273" s="95">
        <v>985.375309805195</v>
      </c>
      <c r="E273" s="5"/>
      <c r="F273" s="5"/>
    </row>
    <row r="274" spans="1:6" ht="31.5" x14ac:dyDescent="0.2">
      <c r="A274" s="36" t="s">
        <v>597</v>
      </c>
      <c r="B274" s="127" t="s">
        <v>1741</v>
      </c>
      <c r="C274" s="159" t="s">
        <v>1742</v>
      </c>
      <c r="D274" s="95">
        <v>985.375309805195</v>
      </c>
      <c r="E274" s="5"/>
      <c r="F274" s="5"/>
    </row>
    <row r="275" spans="1:6" ht="47.25" x14ac:dyDescent="0.2">
      <c r="A275" s="36" t="s">
        <v>598</v>
      </c>
      <c r="B275" s="127" t="s">
        <v>1743</v>
      </c>
      <c r="C275" s="159" t="s">
        <v>1744</v>
      </c>
      <c r="D275" s="95">
        <v>1274.0609502597404</v>
      </c>
      <c r="E275" s="5"/>
      <c r="F275" s="5"/>
    </row>
    <row r="276" spans="1:6" ht="31.5" x14ac:dyDescent="0.2">
      <c r="A276" s="36" t="s">
        <v>599</v>
      </c>
      <c r="B276" s="127" t="s">
        <v>1745</v>
      </c>
      <c r="C276" s="159" t="s">
        <v>1746</v>
      </c>
      <c r="D276" s="95">
        <v>1274.0609502597404</v>
      </c>
      <c r="E276" s="5"/>
      <c r="F276" s="5"/>
    </row>
    <row r="277" spans="1:6" s="6" customFormat="1" x14ac:dyDescent="0.2">
      <c r="A277" s="35"/>
      <c r="B277" s="171" t="s">
        <v>1747</v>
      </c>
      <c r="C277" s="118"/>
      <c r="D277" s="95"/>
      <c r="E277" s="48"/>
      <c r="F277" s="16"/>
    </row>
    <row r="278" spans="1:6" x14ac:dyDescent="0.2">
      <c r="A278" s="36" t="s">
        <v>600</v>
      </c>
      <c r="B278" s="127" t="s">
        <v>1656</v>
      </c>
      <c r="C278" s="159" t="s">
        <v>1657</v>
      </c>
      <c r="D278" s="95">
        <v>520.72144613636374</v>
      </c>
      <c r="E278" s="5"/>
      <c r="F278" s="5"/>
    </row>
    <row r="279" spans="1:6" x14ac:dyDescent="0.2">
      <c r="A279" s="36" t="s">
        <v>601</v>
      </c>
      <c r="B279" s="127" t="s">
        <v>1663</v>
      </c>
      <c r="C279" s="159" t="s">
        <v>1664</v>
      </c>
      <c r="D279" s="95">
        <v>685.77859484848489</v>
      </c>
      <c r="E279" s="5"/>
      <c r="F279" s="5"/>
    </row>
    <row r="280" spans="1:6" x14ac:dyDescent="0.2">
      <c r="A280" s="36" t="s">
        <v>602</v>
      </c>
      <c r="B280" s="127" t="s">
        <v>1665</v>
      </c>
      <c r="C280" s="159" t="s">
        <v>1666</v>
      </c>
      <c r="D280" s="95">
        <v>603.25002049242426</v>
      </c>
      <c r="E280" s="5"/>
      <c r="F280" s="5"/>
    </row>
    <row r="281" spans="1:6" x14ac:dyDescent="0.2">
      <c r="A281" s="36" t="s">
        <v>603</v>
      </c>
      <c r="B281" s="127" t="s">
        <v>1667</v>
      </c>
      <c r="C281" s="159" t="s">
        <v>1668</v>
      </c>
      <c r="D281" s="95">
        <v>603.25002049242426</v>
      </c>
      <c r="E281" s="5"/>
      <c r="F281" s="5"/>
    </row>
    <row r="282" spans="1:6" x14ac:dyDescent="0.2">
      <c r="A282" s="36" t="s">
        <v>604</v>
      </c>
      <c r="B282" s="127" t="s">
        <v>1679</v>
      </c>
      <c r="C282" s="159" t="s">
        <v>1680</v>
      </c>
      <c r="D282" s="95">
        <v>481.65881963718823</v>
      </c>
      <c r="E282" s="5"/>
      <c r="F282" s="5"/>
    </row>
    <row r="283" spans="1:6" x14ac:dyDescent="0.2">
      <c r="A283" s="36" t="s">
        <v>605</v>
      </c>
      <c r="B283" s="127" t="s">
        <v>1681</v>
      </c>
      <c r="C283" s="159" t="s">
        <v>1682</v>
      </c>
      <c r="D283" s="95">
        <v>479.45715895833331</v>
      </c>
      <c r="E283" s="5"/>
      <c r="F283" s="5"/>
    </row>
    <row r="284" spans="1:6" x14ac:dyDescent="0.2">
      <c r="A284" s="36" t="s">
        <v>606</v>
      </c>
      <c r="B284" s="127" t="s">
        <v>1683</v>
      </c>
      <c r="C284" s="159" t="s">
        <v>1684</v>
      </c>
      <c r="D284" s="95">
        <v>727.04288202651526</v>
      </c>
    </row>
    <row r="285" spans="1:6" x14ac:dyDescent="0.2">
      <c r="A285" s="36" t="s">
        <v>607</v>
      </c>
      <c r="B285" s="127" t="s">
        <v>1685</v>
      </c>
      <c r="C285" s="159" t="s">
        <v>1686</v>
      </c>
      <c r="D285" s="95">
        <v>892.10003073863641</v>
      </c>
    </row>
    <row r="286" spans="1:6" x14ac:dyDescent="0.2">
      <c r="A286" s="36" t="s">
        <v>608</v>
      </c>
      <c r="B286" s="127" t="s">
        <v>1677</v>
      </c>
      <c r="C286" s="159" t="s">
        <v>1678</v>
      </c>
      <c r="D286" s="95">
        <v>685.77859484848489</v>
      </c>
    </row>
    <row r="287" spans="1:6" ht="31.5" x14ac:dyDescent="0.2">
      <c r="A287" s="36" t="s">
        <v>609</v>
      </c>
      <c r="B287" s="127" t="s">
        <v>1658</v>
      </c>
      <c r="C287" s="159" t="s">
        <v>1980</v>
      </c>
      <c r="D287" s="95">
        <v>603.25002049242426</v>
      </c>
    </row>
    <row r="288" spans="1:6" x14ac:dyDescent="0.2">
      <c r="A288" s="36" t="s">
        <v>610</v>
      </c>
      <c r="B288" s="127" t="s">
        <v>1659</v>
      </c>
      <c r="C288" s="159" t="s">
        <v>1660</v>
      </c>
      <c r="D288" s="95">
        <v>479.45715895833331</v>
      </c>
    </row>
    <row r="289" spans="1:6" x14ac:dyDescent="0.2">
      <c r="A289" s="36" t="s">
        <v>611</v>
      </c>
      <c r="B289" s="127" t="s">
        <v>1661</v>
      </c>
      <c r="C289" s="159" t="s">
        <v>1662</v>
      </c>
      <c r="D289" s="95">
        <v>768.30716920454563</v>
      </c>
    </row>
    <row r="290" spans="1:6" x14ac:dyDescent="0.2">
      <c r="A290" s="36" t="s">
        <v>612</v>
      </c>
      <c r="B290" s="127" t="s">
        <v>1669</v>
      </c>
      <c r="C290" s="159" t="s">
        <v>1670</v>
      </c>
      <c r="D290" s="95">
        <v>606.052134083694</v>
      </c>
    </row>
    <row r="291" spans="1:6" x14ac:dyDescent="0.2">
      <c r="A291" s="36" t="s">
        <v>613</v>
      </c>
      <c r="B291" s="127" t="s">
        <v>1671</v>
      </c>
      <c r="C291" s="159" t="s">
        <v>1672</v>
      </c>
      <c r="D291" s="95">
        <v>523.12325778602349</v>
      </c>
    </row>
    <row r="292" spans="1:6" ht="31.5" x14ac:dyDescent="0.2">
      <c r="A292" s="36" t="s">
        <v>614</v>
      </c>
      <c r="B292" s="127" t="s">
        <v>1658</v>
      </c>
      <c r="C292" s="159" t="s">
        <v>1981</v>
      </c>
      <c r="D292" s="95">
        <v>1057.1571794507574</v>
      </c>
    </row>
    <row r="293" spans="1:6" ht="18" customHeight="1" x14ac:dyDescent="0.2">
      <c r="A293" s="36" t="s">
        <v>615</v>
      </c>
      <c r="B293" s="127" t="s">
        <v>1673</v>
      </c>
      <c r="C293" s="159" t="s">
        <v>1674</v>
      </c>
      <c r="D293" s="95">
        <v>479.45715895833331</v>
      </c>
    </row>
    <row r="294" spans="1:6" ht="17.25" customHeight="1" x14ac:dyDescent="0.2">
      <c r="A294" s="36" t="s">
        <v>616</v>
      </c>
      <c r="B294" s="127" t="s">
        <v>1675</v>
      </c>
      <c r="C294" s="159" t="s">
        <v>1676</v>
      </c>
      <c r="D294" s="95">
        <v>933.36431791666655</v>
      </c>
    </row>
    <row r="295" spans="1:6" ht="19.5" customHeight="1" x14ac:dyDescent="0.2">
      <c r="A295" s="36" t="s">
        <v>617</v>
      </c>
      <c r="B295" s="127" t="s">
        <v>1687</v>
      </c>
      <c r="C295" s="159" t="s">
        <v>1688</v>
      </c>
      <c r="D295" s="95">
        <v>2088.7643589015152</v>
      </c>
    </row>
    <row r="296" spans="1:6" x14ac:dyDescent="0.2">
      <c r="A296" s="35"/>
      <c r="B296" s="171" t="s">
        <v>838</v>
      </c>
      <c r="C296" s="118"/>
      <c r="D296" s="95"/>
    </row>
    <row r="297" spans="1:6" ht="31.5" x14ac:dyDescent="0.2">
      <c r="A297" s="36" t="s">
        <v>618</v>
      </c>
      <c r="B297" s="127" t="s">
        <v>1652</v>
      </c>
      <c r="C297" s="159" t="s">
        <v>1653</v>
      </c>
      <c r="D297" s="95">
        <v>381.90876110099731</v>
      </c>
    </row>
    <row r="298" spans="1:6" x14ac:dyDescent="0.2">
      <c r="A298" s="36" t="s">
        <v>619</v>
      </c>
      <c r="B298" s="127" t="s">
        <v>1654</v>
      </c>
      <c r="C298" s="159" t="s">
        <v>1655</v>
      </c>
      <c r="D298" s="95">
        <v>439.57841162818676</v>
      </c>
    </row>
    <row r="299" spans="1:6" s="6" customFormat="1" x14ac:dyDescent="0.2">
      <c r="A299" s="35"/>
      <c r="B299" s="171" t="s">
        <v>111</v>
      </c>
      <c r="C299" s="136"/>
      <c r="D299" s="95"/>
      <c r="E299" s="48"/>
      <c r="F299" s="16"/>
    </row>
    <row r="300" spans="1:6" ht="19.5" customHeight="1" x14ac:dyDescent="0.2">
      <c r="A300" s="36" t="s">
        <v>620</v>
      </c>
      <c r="B300" s="127" t="s">
        <v>1535</v>
      </c>
      <c r="C300" s="159" t="s">
        <v>1536</v>
      </c>
      <c r="D300" s="95">
        <v>1114.0510819480519</v>
      </c>
      <c r="E300" s="5"/>
      <c r="F300" s="5"/>
    </row>
    <row r="301" spans="1:6" x14ac:dyDescent="0.2">
      <c r="A301" s="36" t="s">
        <v>621</v>
      </c>
      <c r="B301" s="127" t="s">
        <v>1537</v>
      </c>
      <c r="C301" s="159" t="s">
        <v>1538</v>
      </c>
      <c r="D301" s="95">
        <v>1184.142561818182</v>
      </c>
      <c r="E301" s="5"/>
      <c r="F301" s="5"/>
    </row>
    <row r="302" spans="1:6" x14ac:dyDescent="0.2">
      <c r="A302" s="36" t="s">
        <v>622</v>
      </c>
      <c r="B302" s="127" t="s">
        <v>1539</v>
      </c>
      <c r="C302" s="159" t="s">
        <v>1540</v>
      </c>
      <c r="D302" s="95">
        <v>1184.142561818182</v>
      </c>
      <c r="E302" s="5"/>
      <c r="F302" s="5"/>
    </row>
    <row r="303" spans="1:6" ht="31.5" x14ac:dyDescent="0.2">
      <c r="A303" s="36" t="s">
        <v>623</v>
      </c>
      <c r="B303" s="127" t="s">
        <v>1541</v>
      </c>
      <c r="C303" s="159" t="s">
        <v>1542</v>
      </c>
      <c r="D303" s="95">
        <v>1184.142561818182</v>
      </c>
      <c r="E303" s="5"/>
      <c r="F303" s="5"/>
    </row>
    <row r="304" spans="1:6" x14ac:dyDescent="0.2">
      <c r="A304" s="36" t="s">
        <v>624</v>
      </c>
      <c r="B304" s="127" t="s">
        <v>1543</v>
      </c>
      <c r="C304" s="159" t="s">
        <v>1544</v>
      </c>
      <c r="D304" s="95">
        <v>1184.142561818182</v>
      </c>
      <c r="E304" s="5"/>
      <c r="F304" s="5"/>
    </row>
    <row r="305" spans="1:6" x14ac:dyDescent="0.2">
      <c r="A305" s="36" t="s">
        <v>625</v>
      </c>
      <c r="B305" s="127" t="s">
        <v>1545</v>
      </c>
      <c r="C305" s="159" t="s">
        <v>1546</v>
      </c>
      <c r="D305" s="95">
        <v>1184.142561818182</v>
      </c>
      <c r="E305" s="5"/>
      <c r="F305" s="5"/>
    </row>
    <row r="306" spans="1:6" ht="31.5" x14ac:dyDescent="0.2">
      <c r="A306" s="36" t="s">
        <v>626</v>
      </c>
      <c r="B306" s="127" t="s">
        <v>1547</v>
      </c>
      <c r="C306" s="159" t="s">
        <v>1548</v>
      </c>
      <c r="D306" s="95">
        <v>1184.142561818182</v>
      </c>
      <c r="E306" s="5"/>
      <c r="F306" s="5"/>
    </row>
    <row r="307" spans="1:6" ht="31.5" x14ac:dyDescent="0.2">
      <c r="A307" s="36" t="s">
        <v>627</v>
      </c>
      <c r="B307" s="127" t="s">
        <v>1549</v>
      </c>
      <c r="C307" s="159" t="s">
        <v>1550</v>
      </c>
      <c r="D307" s="95">
        <v>1184.142561818182</v>
      </c>
      <c r="E307" s="5"/>
      <c r="F307" s="5"/>
    </row>
    <row r="308" spans="1:6" x14ac:dyDescent="0.2">
      <c r="A308" s="36" t="s">
        <v>628</v>
      </c>
      <c r="B308" s="127" t="s">
        <v>1551</v>
      </c>
      <c r="C308" s="159" t="s">
        <v>1552</v>
      </c>
      <c r="D308" s="95">
        <v>1184.142561818182</v>
      </c>
      <c r="E308" s="5"/>
      <c r="F308" s="5"/>
    </row>
    <row r="309" spans="1:6" x14ac:dyDescent="0.2">
      <c r="A309" s="36" t="s">
        <v>629</v>
      </c>
      <c r="B309" s="127" t="s">
        <v>1553</v>
      </c>
      <c r="C309" s="159" t="s">
        <v>1554</v>
      </c>
      <c r="D309" s="95">
        <v>1184.142561818182</v>
      </c>
      <c r="E309" s="5"/>
      <c r="F309" s="5"/>
    </row>
    <row r="310" spans="1:6" x14ac:dyDescent="0.2">
      <c r="A310" s="36" t="s">
        <v>630</v>
      </c>
      <c r="B310" s="127" t="s">
        <v>1555</v>
      </c>
      <c r="C310" s="159" t="s">
        <v>1556</v>
      </c>
      <c r="D310" s="95">
        <v>1184.142561818182</v>
      </c>
      <c r="E310" s="5"/>
      <c r="F310" s="5"/>
    </row>
    <row r="311" spans="1:6" x14ac:dyDescent="0.2">
      <c r="A311" s="36" t="s">
        <v>631</v>
      </c>
      <c r="B311" s="127" t="s">
        <v>1557</v>
      </c>
      <c r="C311" s="159" t="s">
        <v>1558</v>
      </c>
      <c r="D311" s="95">
        <v>1184.142561818182</v>
      </c>
      <c r="E311" s="5"/>
      <c r="F311" s="5"/>
    </row>
    <row r="312" spans="1:6" x14ac:dyDescent="0.2">
      <c r="A312" s="36" t="s">
        <v>632</v>
      </c>
      <c r="B312" s="127" t="s">
        <v>1559</v>
      </c>
      <c r="C312" s="159" t="s">
        <v>1560</v>
      </c>
      <c r="D312" s="95">
        <v>1184.142561818182</v>
      </c>
      <c r="E312" s="5"/>
      <c r="F312" s="5"/>
    </row>
    <row r="313" spans="1:6" x14ac:dyDescent="0.2">
      <c r="A313" s="36" t="s">
        <v>633</v>
      </c>
      <c r="B313" s="127" t="s">
        <v>1561</v>
      </c>
      <c r="C313" s="159" t="s">
        <v>1562</v>
      </c>
      <c r="D313" s="95">
        <v>1184.142561818182</v>
      </c>
      <c r="E313" s="5"/>
      <c r="F313" s="5"/>
    </row>
    <row r="314" spans="1:6" ht="31.5" x14ac:dyDescent="0.2">
      <c r="A314" s="36" t="s">
        <v>634</v>
      </c>
      <c r="B314" s="127" t="s">
        <v>1563</v>
      </c>
      <c r="C314" s="159" t="s">
        <v>1564</v>
      </c>
      <c r="D314" s="95">
        <v>1184.142561818182</v>
      </c>
      <c r="E314" s="5"/>
      <c r="F314" s="5"/>
    </row>
    <row r="315" spans="1:6" x14ac:dyDescent="0.2">
      <c r="A315" s="35"/>
      <c r="B315" s="171" t="s">
        <v>112</v>
      </c>
      <c r="C315" s="118"/>
      <c r="D315" s="95"/>
    </row>
    <row r="316" spans="1:6" x14ac:dyDescent="0.2">
      <c r="A316" s="36" t="s">
        <v>635</v>
      </c>
      <c r="B316" s="125" t="s">
        <v>32</v>
      </c>
      <c r="C316" s="155" t="s">
        <v>1917</v>
      </c>
      <c r="D316" s="95">
        <v>896.571280909091</v>
      </c>
    </row>
    <row r="317" spans="1:6" x14ac:dyDescent="0.2">
      <c r="A317" s="36" t="s">
        <v>636</v>
      </c>
      <c r="B317" s="125" t="s">
        <v>975</v>
      </c>
      <c r="C317" s="155" t="s">
        <v>1918</v>
      </c>
      <c r="D317" s="95">
        <v>759.83378090909105</v>
      </c>
    </row>
    <row r="318" spans="1:6" ht="31.5" x14ac:dyDescent="0.2">
      <c r="A318" s="36" t="s">
        <v>637</v>
      </c>
      <c r="B318" s="125" t="s">
        <v>976</v>
      </c>
      <c r="C318" s="155" t="s">
        <v>1919</v>
      </c>
      <c r="D318" s="95">
        <v>294.89741733766232</v>
      </c>
    </row>
    <row r="319" spans="1:6" x14ac:dyDescent="0.2">
      <c r="A319" s="36" t="s">
        <v>638</v>
      </c>
      <c r="B319" s="125" t="s">
        <v>977</v>
      </c>
      <c r="C319" s="155" t="s">
        <v>1920</v>
      </c>
      <c r="D319" s="95">
        <v>389.00144623376627</v>
      </c>
    </row>
    <row r="320" spans="1:6" x14ac:dyDescent="0.2">
      <c r="A320" s="36" t="s">
        <v>639</v>
      </c>
      <c r="B320" s="125" t="s">
        <v>978</v>
      </c>
      <c r="C320" s="155" t="s">
        <v>1921</v>
      </c>
      <c r="D320" s="95">
        <v>539.27386357142848</v>
      </c>
    </row>
    <row r="321" spans="1:6" ht="31.5" x14ac:dyDescent="0.2">
      <c r="A321" s="36" t="s">
        <v>640</v>
      </c>
      <c r="B321" s="125" t="s">
        <v>979</v>
      </c>
      <c r="C321" s="155" t="s">
        <v>1922</v>
      </c>
      <c r="D321" s="95">
        <v>882.06511997783969</v>
      </c>
    </row>
    <row r="322" spans="1:6" x14ac:dyDescent="0.2">
      <c r="A322" s="36" t="s">
        <v>906</v>
      </c>
      <c r="B322" s="125" t="s">
        <v>980</v>
      </c>
      <c r="C322" s="155" t="s">
        <v>981</v>
      </c>
      <c r="D322" s="95">
        <v>882.06511997783969</v>
      </c>
    </row>
    <row r="323" spans="1:6" x14ac:dyDescent="0.2">
      <c r="A323" s="36" t="s">
        <v>907</v>
      </c>
      <c r="B323" s="125" t="s">
        <v>982</v>
      </c>
      <c r="C323" s="155" t="s">
        <v>983</v>
      </c>
      <c r="D323" s="95">
        <v>882.06511997783969</v>
      </c>
    </row>
    <row r="324" spans="1:6" x14ac:dyDescent="0.2">
      <c r="A324" s="36" t="s">
        <v>641</v>
      </c>
      <c r="B324" s="125" t="s">
        <v>984</v>
      </c>
      <c r="C324" s="155" t="s">
        <v>1923</v>
      </c>
      <c r="D324" s="95">
        <v>513.80475201298714</v>
      </c>
      <c r="E324" s="5"/>
      <c r="F324" s="5"/>
    </row>
    <row r="325" spans="1:6" x14ac:dyDescent="0.2">
      <c r="A325" s="36" t="s">
        <v>908</v>
      </c>
      <c r="B325" s="125" t="s">
        <v>985</v>
      </c>
      <c r="C325" s="155" t="s">
        <v>1924</v>
      </c>
      <c r="D325" s="95">
        <v>513.80475201298714</v>
      </c>
      <c r="E325" s="5"/>
      <c r="F325" s="5"/>
    </row>
    <row r="326" spans="1:6" x14ac:dyDescent="0.2">
      <c r="A326" s="36" t="s">
        <v>642</v>
      </c>
      <c r="B326" s="125" t="s">
        <v>1479</v>
      </c>
      <c r="C326" s="155" t="s">
        <v>1982</v>
      </c>
      <c r="D326" s="95">
        <v>949.75036071858062</v>
      </c>
      <c r="E326" s="5"/>
      <c r="F326" s="5"/>
    </row>
    <row r="327" spans="1:6" ht="31.5" x14ac:dyDescent="0.2">
      <c r="A327" s="36" t="s">
        <v>643</v>
      </c>
      <c r="B327" s="125" t="s">
        <v>1480</v>
      </c>
      <c r="C327" s="155" t="s">
        <v>1925</v>
      </c>
      <c r="D327" s="95">
        <v>858.26608891077501</v>
      </c>
      <c r="E327" s="5"/>
      <c r="F327" s="5"/>
    </row>
    <row r="328" spans="1:6" x14ac:dyDescent="0.2">
      <c r="A328" s="36" t="s">
        <v>644</v>
      </c>
      <c r="B328" s="125" t="s">
        <v>986</v>
      </c>
      <c r="C328" s="155" t="s">
        <v>1926</v>
      </c>
      <c r="D328" s="95">
        <v>637.06068278007683</v>
      </c>
      <c r="E328" s="5"/>
      <c r="F328" s="5"/>
    </row>
    <row r="329" spans="1:6" ht="31.5" x14ac:dyDescent="0.2">
      <c r="A329" s="36" t="s">
        <v>645</v>
      </c>
      <c r="B329" s="125" t="s">
        <v>987</v>
      </c>
      <c r="C329" s="155" t="s">
        <v>1927</v>
      </c>
      <c r="D329" s="95">
        <v>1334.0991733766234</v>
      </c>
      <c r="E329" s="5"/>
      <c r="F329" s="5"/>
    </row>
    <row r="330" spans="1:6" x14ac:dyDescent="0.2">
      <c r="A330" s="35"/>
      <c r="B330" s="171" t="s">
        <v>113</v>
      </c>
      <c r="C330" s="118"/>
      <c r="D330" s="95"/>
      <c r="E330" s="5"/>
      <c r="F330" s="5"/>
    </row>
    <row r="331" spans="1:6" x14ac:dyDescent="0.2">
      <c r="A331" s="36" t="s">
        <v>909</v>
      </c>
      <c r="B331" s="125" t="s">
        <v>988</v>
      </c>
      <c r="C331" s="155" t="s">
        <v>1928</v>
      </c>
      <c r="D331" s="95">
        <v>219.63241733766233</v>
      </c>
      <c r="E331" s="5"/>
      <c r="F331" s="5"/>
    </row>
    <row r="332" spans="1:6" x14ac:dyDescent="0.2">
      <c r="A332" s="36" t="s">
        <v>646</v>
      </c>
      <c r="B332" s="125" t="s">
        <v>989</v>
      </c>
      <c r="C332" s="155" t="s">
        <v>990</v>
      </c>
      <c r="D332" s="95">
        <v>219.63241733766233</v>
      </c>
      <c r="E332" s="5"/>
      <c r="F332" s="5"/>
    </row>
    <row r="333" spans="1:6" x14ac:dyDescent="0.2">
      <c r="A333" s="36" t="s">
        <v>647</v>
      </c>
      <c r="B333" s="125" t="s">
        <v>1476</v>
      </c>
      <c r="C333" s="155" t="s">
        <v>1929</v>
      </c>
      <c r="D333" s="191">
        <v>767.25950402597414</v>
      </c>
    </row>
    <row r="334" spans="1:6" ht="31.5" x14ac:dyDescent="0.2">
      <c r="A334" s="36" t="s">
        <v>648</v>
      </c>
      <c r="B334" s="125" t="s">
        <v>991</v>
      </c>
      <c r="C334" s="155" t="s">
        <v>992</v>
      </c>
      <c r="D334" s="95">
        <v>198.06661155844156</v>
      </c>
      <c r="E334" s="5"/>
      <c r="F334" s="5"/>
    </row>
    <row r="335" spans="1:6" x14ac:dyDescent="0.2">
      <c r="A335" s="36" t="s">
        <v>910</v>
      </c>
      <c r="B335" s="123" t="s">
        <v>993</v>
      </c>
      <c r="C335" s="155" t="s">
        <v>1983</v>
      </c>
      <c r="D335" s="95">
        <v>712.39958668831162</v>
      </c>
      <c r="E335" s="5"/>
      <c r="F335" s="5"/>
    </row>
    <row r="336" spans="1:6" x14ac:dyDescent="0.2">
      <c r="A336" s="36" t="s">
        <v>649</v>
      </c>
      <c r="B336" s="125" t="s">
        <v>994</v>
      </c>
      <c r="C336" s="155" t="s">
        <v>1930</v>
      </c>
      <c r="D336" s="95">
        <v>399.79939045454552</v>
      </c>
      <c r="E336" s="5"/>
      <c r="F336" s="5"/>
    </row>
    <row r="337" spans="1:6" x14ac:dyDescent="0.2">
      <c r="A337" s="36" t="s">
        <v>911</v>
      </c>
      <c r="B337" s="125" t="s">
        <v>995</v>
      </c>
      <c r="C337" s="155" t="s">
        <v>1931</v>
      </c>
      <c r="D337" s="95">
        <v>185.83822311688311</v>
      </c>
      <c r="E337" s="5"/>
      <c r="F337" s="5"/>
    </row>
    <row r="338" spans="1:6" x14ac:dyDescent="0.2">
      <c r="A338" s="36" t="s">
        <v>650</v>
      </c>
      <c r="B338" s="125" t="s">
        <v>996</v>
      </c>
      <c r="C338" s="155" t="s">
        <v>1932</v>
      </c>
      <c r="D338" s="95">
        <v>406.13394623376627</v>
      </c>
      <c r="E338" s="5"/>
      <c r="F338" s="5"/>
    </row>
    <row r="339" spans="1:6" x14ac:dyDescent="0.2">
      <c r="A339" s="36" t="s">
        <v>651</v>
      </c>
      <c r="B339" s="125" t="s">
        <v>76</v>
      </c>
      <c r="C339" s="155" t="s">
        <v>1933</v>
      </c>
      <c r="D339" s="95">
        <v>412.2814462337663</v>
      </c>
      <c r="E339" s="5"/>
      <c r="F339" s="5"/>
    </row>
    <row r="340" spans="1:6" ht="31.5" x14ac:dyDescent="0.2">
      <c r="A340" s="36" t="s">
        <v>652</v>
      </c>
      <c r="B340" s="125" t="s">
        <v>997</v>
      </c>
      <c r="C340" s="155" t="s">
        <v>1984</v>
      </c>
      <c r="D340" s="95">
        <v>409.97452490203909</v>
      </c>
      <c r="E340" s="5"/>
      <c r="F340" s="5"/>
    </row>
    <row r="341" spans="1:6" x14ac:dyDescent="0.2">
      <c r="A341" s="36" t="s">
        <v>653</v>
      </c>
      <c r="B341" s="125" t="s">
        <v>998</v>
      </c>
      <c r="C341" s="155" t="s">
        <v>999</v>
      </c>
      <c r="D341" s="95">
        <v>324.44495617652933</v>
      </c>
    </row>
    <row r="342" spans="1:6" x14ac:dyDescent="0.2">
      <c r="A342" s="36" t="s">
        <v>654</v>
      </c>
      <c r="B342" s="125" t="s">
        <v>1000</v>
      </c>
      <c r="C342" s="155" t="s">
        <v>1001</v>
      </c>
      <c r="D342" s="95">
        <v>322.9209775929952</v>
      </c>
    </row>
    <row r="343" spans="1:6" x14ac:dyDescent="0.2">
      <c r="A343" s="36" t="s">
        <v>655</v>
      </c>
      <c r="B343" s="125" t="s">
        <v>1002</v>
      </c>
      <c r="C343" s="155" t="s">
        <v>1934</v>
      </c>
      <c r="D343" s="95">
        <v>342.16777889610398</v>
      </c>
    </row>
    <row r="344" spans="1:6" x14ac:dyDescent="0.2">
      <c r="A344" s="36" t="s">
        <v>656</v>
      </c>
      <c r="B344" s="125" t="s">
        <v>266</v>
      </c>
      <c r="C344" s="155" t="s">
        <v>1935</v>
      </c>
      <c r="D344" s="95">
        <v>342.16777889610398</v>
      </c>
    </row>
    <row r="345" spans="1:6" x14ac:dyDescent="0.2">
      <c r="A345" s="36" t="s">
        <v>657</v>
      </c>
      <c r="B345" s="125" t="s">
        <v>318</v>
      </c>
      <c r="C345" s="155" t="s">
        <v>1936</v>
      </c>
      <c r="D345" s="95">
        <v>259.68616733766231</v>
      </c>
    </row>
    <row r="346" spans="1:6" x14ac:dyDescent="0.2">
      <c r="A346" s="36" t="s">
        <v>658</v>
      </c>
      <c r="B346" s="125" t="s">
        <v>1003</v>
      </c>
      <c r="C346" s="155" t="s">
        <v>1937</v>
      </c>
      <c r="D346" s="95">
        <v>342.16777889610398</v>
      </c>
    </row>
    <row r="347" spans="1:6" x14ac:dyDescent="0.2">
      <c r="A347" s="36" t="s">
        <v>912</v>
      </c>
      <c r="B347" s="125" t="s">
        <v>1004</v>
      </c>
      <c r="C347" s="155" t="s">
        <v>1938</v>
      </c>
      <c r="D347" s="95">
        <v>342.16777889610398</v>
      </c>
    </row>
    <row r="348" spans="1:6" ht="31.5" x14ac:dyDescent="0.2">
      <c r="A348" s="36" t="s">
        <v>659</v>
      </c>
      <c r="B348" s="125" t="s">
        <v>1005</v>
      </c>
      <c r="C348" s="155" t="s">
        <v>1006</v>
      </c>
      <c r="D348" s="95">
        <v>92.537861558441563</v>
      </c>
    </row>
    <row r="349" spans="1:6" x14ac:dyDescent="0.2">
      <c r="A349" s="36" t="s">
        <v>913</v>
      </c>
      <c r="B349" s="125" t="s">
        <v>1053</v>
      </c>
      <c r="C349" s="155" t="s">
        <v>1939</v>
      </c>
      <c r="D349" s="95">
        <v>289.93564045454548</v>
      </c>
    </row>
    <row r="350" spans="1:6" x14ac:dyDescent="0.2">
      <c r="A350" s="35"/>
      <c r="B350" s="171" t="s">
        <v>114</v>
      </c>
      <c r="C350" s="136"/>
      <c r="D350" s="95"/>
    </row>
    <row r="351" spans="1:6" x14ac:dyDescent="0.2">
      <c r="A351" s="36" t="s">
        <v>863</v>
      </c>
      <c r="B351" s="125" t="s">
        <v>12</v>
      </c>
      <c r="C351" s="155" t="s">
        <v>1940</v>
      </c>
      <c r="D351" s="95">
        <v>562.20343491732808</v>
      </c>
    </row>
    <row r="352" spans="1:6" x14ac:dyDescent="0.2">
      <c r="A352" s="36" t="s">
        <v>914</v>
      </c>
      <c r="B352" s="125" t="s">
        <v>1007</v>
      </c>
      <c r="C352" s="155" t="s">
        <v>1008</v>
      </c>
      <c r="D352" s="95">
        <v>73.378305779220781</v>
      </c>
    </row>
    <row r="353" spans="1:4" x14ac:dyDescent="0.2">
      <c r="A353" s="36" t="s">
        <v>660</v>
      </c>
      <c r="B353" s="125" t="s">
        <v>1009</v>
      </c>
      <c r="C353" s="155" t="s">
        <v>1010</v>
      </c>
      <c r="D353" s="95">
        <v>73.378305779220781</v>
      </c>
    </row>
    <row r="354" spans="1:4" x14ac:dyDescent="0.2">
      <c r="A354" s="35"/>
      <c r="B354" s="171" t="s">
        <v>272</v>
      </c>
      <c r="C354" s="136"/>
      <c r="D354" s="95"/>
    </row>
    <row r="355" spans="1:4" x14ac:dyDescent="0.2">
      <c r="A355" s="36" t="s">
        <v>661</v>
      </c>
      <c r="B355" s="125" t="s">
        <v>1011</v>
      </c>
      <c r="C355" s="155" t="s">
        <v>1941</v>
      </c>
      <c r="D355" s="95">
        <v>330.66691517419088</v>
      </c>
    </row>
    <row r="356" spans="1:4" ht="31.5" x14ac:dyDescent="0.2">
      <c r="A356" s="36" t="s">
        <v>662</v>
      </c>
      <c r="B356" s="125" t="s">
        <v>1012</v>
      </c>
      <c r="C356" s="155" t="s">
        <v>1013</v>
      </c>
      <c r="D356" s="95">
        <v>224.10115396401298</v>
      </c>
    </row>
    <row r="357" spans="1:4" x14ac:dyDescent="0.2">
      <c r="A357" s="36" t="s">
        <v>915</v>
      </c>
      <c r="B357" s="125" t="s">
        <v>1014</v>
      </c>
      <c r="C357" s="155" t="s">
        <v>1942</v>
      </c>
      <c r="D357" s="95">
        <v>285.47072311688311</v>
      </c>
    </row>
    <row r="358" spans="1:4" x14ac:dyDescent="0.2">
      <c r="A358" s="36" t="s">
        <v>663</v>
      </c>
      <c r="B358" s="125" t="s">
        <v>1015</v>
      </c>
      <c r="C358" s="155" t="s">
        <v>1016</v>
      </c>
      <c r="D358" s="95">
        <v>283.36983467532468</v>
      </c>
    </row>
    <row r="359" spans="1:4" x14ac:dyDescent="0.2">
      <c r="A359" s="36" t="s">
        <v>916</v>
      </c>
      <c r="B359" s="125" t="s">
        <v>15</v>
      </c>
      <c r="C359" s="155" t="s">
        <v>1943</v>
      </c>
      <c r="D359" s="95">
        <v>418.85144623376624</v>
      </c>
    </row>
    <row r="360" spans="1:4" x14ac:dyDescent="0.2">
      <c r="A360" s="36" t="s">
        <v>664</v>
      </c>
      <c r="B360" s="125" t="s">
        <v>1017</v>
      </c>
      <c r="C360" s="155" t="s">
        <v>1944</v>
      </c>
      <c r="D360" s="95">
        <v>675.80064709716214</v>
      </c>
    </row>
    <row r="361" spans="1:4" x14ac:dyDescent="0.2">
      <c r="A361" s="36" t="s">
        <v>917</v>
      </c>
      <c r="B361" s="125" t="s">
        <v>1018</v>
      </c>
      <c r="C361" s="155" t="s">
        <v>1945</v>
      </c>
      <c r="D361" s="95">
        <v>675.80064709716214</v>
      </c>
    </row>
    <row r="362" spans="1:4" x14ac:dyDescent="0.2">
      <c r="A362" s="36" t="s">
        <v>665</v>
      </c>
      <c r="B362" s="125" t="s">
        <v>1019</v>
      </c>
      <c r="C362" s="155" t="s">
        <v>1946</v>
      </c>
      <c r="D362" s="95">
        <v>481.57680779220789</v>
      </c>
    </row>
    <row r="363" spans="1:4" x14ac:dyDescent="0.2">
      <c r="A363" s="36" t="s">
        <v>666</v>
      </c>
      <c r="B363" s="125" t="s">
        <v>1020</v>
      </c>
      <c r="C363" s="155" t="s">
        <v>1947</v>
      </c>
      <c r="D363" s="95">
        <v>296.75402889610393</v>
      </c>
    </row>
    <row r="364" spans="1:4" x14ac:dyDescent="0.2">
      <c r="A364" s="36" t="s">
        <v>667</v>
      </c>
      <c r="B364" s="125" t="s">
        <v>1021</v>
      </c>
      <c r="C364" s="155" t="s">
        <v>1948</v>
      </c>
      <c r="D364" s="95">
        <v>388.30695075929373</v>
      </c>
    </row>
    <row r="365" spans="1:4" x14ac:dyDescent="0.2">
      <c r="A365" s="36" t="s">
        <v>668</v>
      </c>
      <c r="B365" s="125" t="s">
        <v>1022</v>
      </c>
      <c r="C365" s="155" t="s">
        <v>1023</v>
      </c>
      <c r="D365" s="95">
        <v>182.26742636363636</v>
      </c>
    </row>
    <row r="366" spans="1:4" x14ac:dyDescent="0.2">
      <c r="A366" s="36" t="s">
        <v>669</v>
      </c>
      <c r="B366" s="125" t="s">
        <v>1024</v>
      </c>
      <c r="C366" s="155" t="s">
        <v>1025</v>
      </c>
      <c r="D366" s="95">
        <v>182.26742636363636</v>
      </c>
    </row>
    <row r="367" spans="1:4" x14ac:dyDescent="0.2">
      <c r="A367" s="35"/>
      <c r="B367" s="171" t="s">
        <v>273</v>
      </c>
      <c r="C367" s="136"/>
      <c r="D367" s="95"/>
    </row>
    <row r="368" spans="1:4" x14ac:dyDescent="0.2">
      <c r="A368" s="36" t="s">
        <v>670</v>
      </c>
      <c r="B368" s="125" t="s">
        <v>1026</v>
      </c>
      <c r="C368" s="155" t="s">
        <v>1949</v>
      </c>
      <c r="D368" s="95">
        <v>597.67523857142851</v>
      </c>
    </row>
    <row r="369" spans="1:6" ht="31.5" x14ac:dyDescent="0.2">
      <c r="A369" s="36" t="s">
        <v>671</v>
      </c>
      <c r="B369" s="125" t="s">
        <v>1027</v>
      </c>
      <c r="C369" s="155" t="s">
        <v>1950</v>
      </c>
      <c r="D369" s="95">
        <v>464.46466675902309</v>
      </c>
    </row>
    <row r="370" spans="1:6" x14ac:dyDescent="0.2">
      <c r="A370" s="36" t="s">
        <v>672</v>
      </c>
      <c r="B370" s="125" t="s">
        <v>1028</v>
      </c>
      <c r="C370" s="155" t="s">
        <v>1951</v>
      </c>
      <c r="D370" s="95">
        <v>297.42328099687353</v>
      </c>
    </row>
    <row r="371" spans="1:6" ht="20.25" customHeight="1" x14ac:dyDescent="0.2">
      <c r="A371" s="36" t="s">
        <v>673</v>
      </c>
      <c r="B371" s="125" t="s">
        <v>1029</v>
      </c>
      <c r="C371" s="155" t="s">
        <v>1952</v>
      </c>
      <c r="D371" s="95">
        <v>261.70402889610398</v>
      </c>
    </row>
    <row r="372" spans="1:6" ht="21" customHeight="1" x14ac:dyDescent="0.2">
      <c r="A372" s="36" t="s">
        <v>918</v>
      </c>
      <c r="B372" s="125" t="s">
        <v>1030</v>
      </c>
      <c r="C372" s="155" t="s">
        <v>1953</v>
      </c>
      <c r="D372" s="95">
        <v>261.70402889610398</v>
      </c>
    </row>
    <row r="373" spans="1:6" x14ac:dyDescent="0.2">
      <c r="A373" s="36" t="s">
        <v>674</v>
      </c>
      <c r="B373" s="125" t="s">
        <v>41</v>
      </c>
      <c r="C373" s="155" t="s">
        <v>1954</v>
      </c>
      <c r="D373" s="95">
        <v>645.97764879857255</v>
      </c>
    </row>
    <row r="374" spans="1:6" x14ac:dyDescent="0.2">
      <c r="A374" s="36" t="s">
        <v>675</v>
      </c>
      <c r="B374" s="125" t="s">
        <v>161</v>
      </c>
      <c r="C374" s="155" t="s">
        <v>1955</v>
      </c>
      <c r="D374" s="95">
        <v>371.40902635470349</v>
      </c>
    </row>
    <row r="375" spans="1:6" ht="31.5" x14ac:dyDescent="0.2">
      <c r="A375" s="36" t="s">
        <v>676</v>
      </c>
      <c r="B375" s="125" t="s">
        <v>1031</v>
      </c>
      <c r="C375" s="155" t="s">
        <v>1956</v>
      </c>
      <c r="D375" s="95">
        <v>411.26725201298706</v>
      </c>
    </row>
    <row r="376" spans="1:6" x14ac:dyDescent="0.2">
      <c r="A376" s="36" t="s">
        <v>677</v>
      </c>
      <c r="B376" s="125" t="s">
        <v>1032</v>
      </c>
      <c r="C376" s="155" t="s">
        <v>1033</v>
      </c>
      <c r="D376" s="95">
        <v>317.75078746595415</v>
      </c>
    </row>
    <row r="377" spans="1:6" x14ac:dyDescent="0.2">
      <c r="A377" s="36" t="s">
        <v>678</v>
      </c>
      <c r="B377" s="125" t="s">
        <v>1034</v>
      </c>
      <c r="C377" s="155" t="s">
        <v>1957</v>
      </c>
      <c r="D377" s="95">
        <v>261.64483467532472</v>
      </c>
    </row>
    <row r="378" spans="1:6" x14ac:dyDescent="0.2">
      <c r="A378" s="36" t="s">
        <v>679</v>
      </c>
      <c r="B378" s="125" t="s">
        <v>302</v>
      </c>
      <c r="C378" s="155" t="s">
        <v>1958</v>
      </c>
      <c r="D378" s="95">
        <v>397.68105409632034</v>
      </c>
      <c r="E378" s="5"/>
      <c r="F378" s="5"/>
    </row>
    <row r="379" spans="1:6" ht="31.5" x14ac:dyDescent="0.2">
      <c r="A379" s="35"/>
      <c r="B379" s="171" t="s">
        <v>1858</v>
      </c>
      <c r="C379" s="136"/>
      <c r="D379" s="95"/>
      <c r="E379" s="5"/>
      <c r="F379" s="5"/>
    </row>
    <row r="380" spans="1:6" x14ac:dyDescent="0.2">
      <c r="A380" s="36" t="s">
        <v>680</v>
      </c>
      <c r="B380" s="127" t="s">
        <v>1059</v>
      </c>
      <c r="C380" s="150" t="s">
        <v>1060</v>
      </c>
      <c r="D380" s="191">
        <v>279.94657255952382</v>
      </c>
      <c r="E380" s="5"/>
      <c r="F380" s="5"/>
    </row>
    <row r="381" spans="1:6" x14ac:dyDescent="0.2">
      <c r="A381" s="36" t="s">
        <v>681</v>
      </c>
      <c r="B381" s="127" t="s">
        <v>1061</v>
      </c>
      <c r="C381" s="150" t="s">
        <v>1062</v>
      </c>
      <c r="D381" s="191">
        <v>278.58419802119835</v>
      </c>
      <c r="E381" s="5"/>
      <c r="F381" s="5"/>
    </row>
    <row r="382" spans="1:6" x14ac:dyDescent="0.2">
      <c r="A382" s="36" t="s">
        <v>682</v>
      </c>
      <c r="B382" s="127" t="s">
        <v>1063</v>
      </c>
      <c r="C382" s="150" t="s">
        <v>1064</v>
      </c>
      <c r="D382" s="191">
        <v>278.11675652375152</v>
      </c>
      <c r="E382" s="5"/>
      <c r="F382" s="5"/>
    </row>
    <row r="383" spans="1:6" x14ac:dyDescent="0.2">
      <c r="A383" s="36" t="s">
        <v>683</v>
      </c>
      <c r="B383" s="127" t="s">
        <v>1065</v>
      </c>
      <c r="C383" s="150" t="s">
        <v>1066</v>
      </c>
      <c r="D383" s="191">
        <v>276.17595957088577</v>
      </c>
      <c r="E383" s="5"/>
      <c r="F383" s="5"/>
    </row>
    <row r="384" spans="1:6" x14ac:dyDescent="0.2">
      <c r="A384" s="36" t="s">
        <v>684</v>
      </c>
      <c r="B384" s="128" t="s">
        <v>1067</v>
      </c>
      <c r="C384" s="150" t="s">
        <v>1068</v>
      </c>
      <c r="D384" s="191">
        <v>131.22534402983686</v>
      </c>
      <c r="E384" s="5"/>
      <c r="F384" s="5"/>
    </row>
    <row r="385" spans="1:6" x14ac:dyDescent="0.2">
      <c r="A385" s="36" t="s">
        <v>685</v>
      </c>
      <c r="B385" s="127" t="s">
        <v>1069</v>
      </c>
      <c r="C385" s="150" t="s">
        <v>1070</v>
      </c>
      <c r="D385" s="191">
        <v>131.22534402983686</v>
      </c>
      <c r="E385" s="5"/>
      <c r="F385" s="5"/>
    </row>
    <row r="386" spans="1:6" x14ac:dyDescent="0.2">
      <c r="A386" s="36" t="s">
        <v>765</v>
      </c>
      <c r="B386" s="127" t="s">
        <v>1071</v>
      </c>
      <c r="C386" s="150" t="s">
        <v>1072</v>
      </c>
      <c r="D386" s="191">
        <v>131.22534402983686</v>
      </c>
      <c r="E386" s="5"/>
      <c r="F386" s="5"/>
    </row>
    <row r="387" spans="1:6" x14ac:dyDescent="0.2">
      <c r="A387" s="35"/>
      <c r="B387" s="171" t="s">
        <v>1263</v>
      </c>
      <c r="C387" s="136"/>
      <c r="D387" s="95"/>
      <c r="E387" s="5"/>
      <c r="F387" s="5"/>
    </row>
    <row r="388" spans="1:6" x14ac:dyDescent="0.2">
      <c r="A388" s="36" t="s">
        <v>766</v>
      </c>
      <c r="B388" s="127" t="s">
        <v>1079</v>
      </c>
      <c r="C388" s="150" t="s">
        <v>1080</v>
      </c>
      <c r="D388" s="191">
        <v>263.44081717179131</v>
      </c>
      <c r="E388" s="5"/>
      <c r="F388" s="5"/>
    </row>
    <row r="389" spans="1:6" ht="18.75" customHeight="1" x14ac:dyDescent="0.2">
      <c r="A389" s="36" t="s">
        <v>767</v>
      </c>
      <c r="B389" s="127" t="s">
        <v>1783</v>
      </c>
      <c r="C389" s="150" t="s">
        <v>1784</v>
      </c>
      <c r="D389" s="191">
        <v>170.09897235216499</v>
      </c>
      <c r="E389" s="5"/>
      <c r="F389" s="5"/>
    </row>
    <row r="390" spans="1:6" x14ac:dyDescent="0.2">
      <c r="A390" s="36" t="s">
        <v>864</v>
      </c>
      <c r="B390" s="127" t="s">
        <v>1081</v>
      </c>
      <c r="C390" s="150" t="s">
        <v>1082</v>
      </c>
      <c r="D390" s="191">
        <v>182.92488947959612</v>
      </c>
    </row>
    <row r="391" spans="1:6" x14ac:dyDescent="0.2">
      <c r="A391" s="36" t="s">
        <v>768</v>
      </c>
      <c r="B391" s="127" t="s">
        <v>1083</v>
      </c>
      <c r="C391" s="150" t="s">
        <v>1084</v>
      </c>
      <c r="D391" s="191">
        <v>164.08314250000001</v>
      </c>
    </row>
    <row r="392" spans="1:6" x14ac:dyDescent="0.2">
      <c r="A392" s="36" t="s">
        <v>769</v>
      </c>
      <c r="B392" s="127" t="s">
        <v>1085</v>
      </c>
      <c r="C392" s="150" t="s">
        <v>1086</v>
      </c>
      <c r="D392" s="191">
        <v>191.32841602272725</v>
      </c>
    </row>
    <row r="393" spans="1:6" x14ac:dyDescent="0.2">
      <c r="A393" s="36" t="s">
        <v>770</v>
      </c>
      <c r="B393" s="127" t="s">
        <v>1087</v>
      </c>
      <c r="C393" s="150" t="s">
        <v>1088</v>
      </c>
      <c r="D393" s="191">
        <v>560.81894771962834</v>
      </c>
    </row>
    <row r="394" spans="1:6" ht="31.5" x14ac:dyDescent="0.2">
      <c r="A394" s="36" t="s">
        <v>771</v>
      </c>
      <c r="B394" s="127" t="s">
        <v>1089</v>
      </c>
      <c r="C394" s="150" t="s">
        <v>1090</v>
      </c>
      <c r="D394" s="191">
        <v>236.68866383459255</v>
      </c>
    </row>
    <row r="395" spans="1:6" ht="47.25" x14ac:dyDescent="0.2">
      <c r="A395" s="36" t="s">
        <v>686</v>
      </c>
      <c r="B395" s="127" t="s">
        <v>1091</v>
      </c>
      <c r="C395" s="150" t="s">
        <v>1092</v>
      </c>
      <c r="D395" s="191">
        <v>267.74502906560707</v>
      </c>
    </row>
    <row r="396" spans="1:6" x14ac:dyDescent="0.2">
      <c r="A396" s="36" t="s">
        <v>687</v>
      </c>
      <c r="B396" s="127" t="s">
        <v>1093</v>
      </c>
      <c r="C396" s="150" t="s">
        <v>1094</v>
      </c>
      <c r="D396" s="191">
        <v>181.18099312499999</v>
      </c>
    </row>
    <row r="397" spans="1:6" ht="31.5" x14ac:dyDescent="0.2">
      <c r="A397" s="36" t="s">
        <v>688</v>
      </c>
      <c r="B397" s="127" t="s">
        <v>1095</v>
      </c>
      <c r="C397" s="150" t="s">
        <v>1096</v>
      </c>
      <c r="D397" s="191">
        <v>308.56658375000001</v>
      </c>
    </row>
    <row r="398" spans="1:6" ht="31.5" x14ac:dyDescent="0.2">
      <c r="A398" s="36" t="s">
        <v>689</v>
      </c>
      <c r="B398" s="127" t="s">
        <v>1097</v>
      </c>
      <c r="C398" s="150" t="s">
        <v>1098</v>
      </c>
      <c r="D398" s="191">
        <v>201.81074272727273</v>
      </c>
    </row>
    <row r="399" spans="1:6" x14ac:dyDescent="0.2">
      <c r="A399" s="35"/>
      <c r="B399" s="171" t="s">
        <v>1785</v>
      </c>
      <c r="C399" s="136"/>
      <c r="D399" s="95"/>
      <c r="E399" s="5"/>
      <c r="F399" s="5"/>
    </row>
    <row r="400" spans="1:6" x14ac:dyDescent="0.2">
      <c r="A400" s="36" t="s">
        <v>690</v>
      </c>
      <c r="B400" s="126" t="s">
        <v>1073</v>
      </c>
      <c r="C400" s="150" t="s">
        <v>1074</v>
      </c>
      <c r="D400" s="191">
        <v>216.97889665640037</v>
      </c>
      <c r="E400" s="5"/>
      <c r="F400" s="5"/>
    </row>
    <row r="401" spans="1:6" x14ac:dyDescent="0.2">
      <c r="A401" s="36" t="s">
        <v>691</v>
      </c>
      <c r="B401" s="126" t="s">
        <v>1075</v>
      </c>
      <c r="C401" s="150" t="s">
        <v>1076</v>
      </c>
      <c r="D401" s="191">
        <v>251.41197588177698</v>
      </c>
      <c r="E401" s="5"/>
      <c r="F401" s="5"/>
    </row>
    <row r="402" spans="1:6" ht="31.5" x14ac:dyDescent="0.2">
      <c r="A402" s="36" t="s">
        <v>692</v>
      </c>
      <c r="B402" s="125" t="s">
        <v>1077</v>
      </c>
      <c r="C402" s="163" t="s">
        <v>1078</v>
      </c>
      <c r="D402" s="191">
        <v>253.60910244073386</v>
      </c>
      <c r="E402" s="5"/>
      <c r="F402" s="5"/>
    </row>
    <row r="403" spans="1:6" ht="31.5" x14ac:dyDescent="0.2">
      <c r="A403" s="36" t="s">
        <v>693</v>
      </c>
      <c r="B403" s="127" t="s">
        <v>1259</v>
      </c>
      <c r="C403" s="150" t="s">
        <v>1260</v>
      </c>
      <c r="D403" s="95">
        <v>249.46570874458325</v>
      </c>
    </row>
    <row r="404" spans="1:6" ht="31.5" x14ac:dyDescent="0.2">
      <c r="A404" s="35"/>
      <c r="B404" s="171" t="s">
        <v>1857</v>
      </c>
      <c r="C404" s="136"/>
      <c r="D404" s="95"/>
    </row>
    <row r="405" spans="1:6" x14ac:dyDescent="0.2">
      <c r="A405" s="36" t="s">
        <v>694</v>
      </c>
      <c r="B405" s="127" t="s">
        <v>1099</v>
      </c>
      <c r="C405" s="150" t="s">
        <v>1100</v>
      </c>
      <c r="D405" s="191">
        <v>250.73385806435959</v>
      </c>
    </row>
    <row r="406" spans="1:6" ht="31.5" x14ac:dyDescent="0.2">
      <c r="A406" s="36" t="s">
        <v>695</v>
      </c>
      <c r="B406" s="127" t="s">
        <v>1101</v>
      </c>
      <c r="C406" s="150" t="s">
        <v>1102</v>
      </c>
      <c r="D406" s="191">
        <v>228.53137618776509</v>
      </c>
    </row>
    <row r="407" spans="1:6" ht="31.5" x14ac:dyDescent="0.2">
      <c r="A407" s="35"/>
      <c r="B407" s="171" t="s">
        <v>1788</v>
      </c>
      <c r="C407" s="136"/>
      <c r="D407" s="95"/>
    </row>
    <row r="408" spans="1:6" x14ac:dyDescent="0.2">
      <c r="A408" s="36" t="s">
        <v>696</v>
      </c>
      <c r="B408" s="127" t="s">
        <v>1103</v>
      </c>
      <c r="C408" s="150" t="s">
        <v>1104</v>
      </c>
      <c r="D408" s="191">
        <v>299.4751677037811</v>
      </c>
    </row>
    <row r="409" spans="1:6" x14ac:dyDescent="0.2">
      <c r="A409" s="36" t="s">
        <v>697</v>
      </c>
      <c r="B409" s="128" t="s">
        <v>1105</v>
      </c>
      <c r="C409" s="150" t="s">
        <v>1106</v>
      </c>
      <c r="D409" s="95">
        <v>331.49025157788628</v>
      </c>
      <c r="E409" s="5"/>
      <c r="F409" s="5"/>
    </row>
    <row r="410" spans="1:6" x14ac:dyDescent="0.2">
      <c r="A410" s="36" t="s">
        <v>698</v>
      </c>
      <c r="B410" s="128" t="s">
        <v>1107</v>
      </c>
      <c r="C410" s="150" t="s">
        <v>1108</v>
      </c>
      <c r="D410" s="95">
        <v>331.49025157788628</v>
      </c>
      <c r="E410" s="5"/>
      <c r="F410" s="5"/>
    </row>
    <row r="411" spans="1:6" x14ac:dyDescent="0.2">
      <c r="A411" s="36" t="s">
        <v>699</v>
      </c>
      <c r="B411" s="128" t="s">
        <v>1109</v>
      </c>
      <c r="C411" s="150" t="s">
        <v>1110</v>
      </c>
      <c r="D411" s="95">
        <v>331.49025157788628</v>
      </c>
      <c r="E411" s="5"/>
      <c r="F411" s="5"/>
    </row>
    <row r="412" spans="1:6" x14ac:dyDescent="0.2">
      <c r="A412" s="35"/>
      <c r="B412" s="171" t="s">
        <v>1264</v>
      </c>
      <c r="C412" s="136"/>
      <c r="D412" s="95"/>
      <c r="E412" s="5"/>
      <c r="F412" s="5"/>
    </row>
    <row r="413" spans="1:6" x14ac:dyDescent="0.2">
      <c r="A413" s="36" t="s">
        <v>919</v>
      </c>
      <c r="B413" s="129" t="s">
        <v>1111</v>
      </c>
      <c r="C413" s="150" t="s">
        <v>1112</v>
      </c>
      <c r="D413" s="191">
        <v>202.98027100540787</v>
      </c>
      <c r="E413" s="5"/>
      <c r="F413" s="5"/>
    </row>
    <row r="414" spans="1:6" ht="31.5" x14ac:dyDescent="0.2">
      <c r="A414" s="36" t="s">
        <v>700</v>
      </c>
      <c r="B414" s="129" t="s">
        <v>1113</v>
      </c>
      <c r="C414" s="150" t="s">
        <v>1114</v>
      </c>
      <c r="D414" s="191">
        <v>196.73027100540787</v>
      </c>
      <c r="E414" s="5"/>
      <c r="F414" s="5"/>
    </row>
    <row r="415" spans="1:6" x14ac:dyDescent="0.2">
      <c r="A415" s="36" t="s">
        <v>701</v>
      </c>
      <c r="B415" s="127" t="s">
        <v>1115</v>
      </c>
      <c r="C415" s="150" t="s">
        <v>1116</v>
      </c>
      <c r="D415" s="191">
        <v>225.58094509631695</v>
      </c>
      <c r="E415" s="5"/>
      <c r="F415" s="5"/>
    </row>
    <row r="416" spans="1:6" x14ac:dyDescent="0.2">
      <c r="A416" s="36" t="s">
        <v>702</v>
      </c>
      <c r="B416" s="127" t="s">
        <v>1117</v>
      </c>
      <c r="C416" s="150" t="s">
        <v>1118</v>
      </c>
      <c r="D416" s="191">
        <v>225.58094509631695</v>
      </c>
      <c r="E416" s="5"/>
      <c r="F416" s="5"/>
    </row>
    <row r="417" spans="1:6" x14ac:dyDescent="0.2">
      <c r="A417" s="36" t="s">
        <v>703</v>
      </c>
      <c r="B417" s="129" t="s">
        <v>1119</v>
      </c>
      <c r="C417" s="150" t="s">
        <v>1120</v>
      </c>
      <c r="D417" s="191">
        <v>230.3939506644987</v>
      </c>
      <c r="E417" s="5"/>
      <c r="F417" s="5"/>
    </row>
    <row r="418" spans="1:6" x14ac:dyDescent="0.2">
      <c r="A418" s="36" t="s">
        <v>704</v>
      </c>
      <c r="B418" s="129" t="s">
        <v>1121</v>
      </c>
      <c r="C418" s="150" t="s">
        <v>1122</v>
      </c>
      <c r="D418" s="191">
        <v>228.48145066449874</v>
      </c>
      <c r="E418" s="5"/>
      <c r="F418" s="5"/>
    </row>
    <row r="419" spans="1:6" x14ac:dyDescent="0.2">
      <c r="A419" s="36" t="s">
        <v>920</v>
      </c>
      <c r="B419" s="129" t="s">
        <v>1123</v>
      </c>
      <c r="C419" s="150" t="s">
        <v>1124</v>
      </c>
      <c r="D419" s="191">
        <v>204.77923831520394</v>
      </c>
      <c r="E419" s="5"/>
      <c r="F419" s="5"/>
    </row>
    <row r="420" spans="1:6" x14ac:dyDescent="0.2">
      <c r="A420" s="36" t="s">
        <v>705</v>
      </c>
      <c r="B420" s="129" t="s">
        <v>1125</v>
      </c>
      <c r="C420" s="150" t="s">
        <v>1126</v>
      </c>
      <c r="D420" s="191">
        <v>204.02413050804051</v>
      </c>
      <c r="E420" s="5"/>
      <c r="F420" s="5"/>
    </row>
    <row r="421" spans="1:6" x14ac:dyDescent="0.2">
      <c r="A421" s="36" t="s">
        <v>706</v>
      </c>
      <c r="B421" s="127" t="s">
        <v>1127</v>
      </c>
      <c r="C421" s="150" t="s">
        <v>1128</v>
      </c>
      <c r="D421" s="191">
        <v>212.793605469054</v>
      </c>
      <c r="E421" s="5"/>
      <c r="F421" s="5"/>
    </row>
    <row r="422" spans="1:6" x14ac:dyDescent="0.2">
      <c r="A422" s="36" t="s">
        <v>707</v>
      </c>
      <c r="B422" s="127" t="s">
        <v>1129</v>
      </c>
      <c r="C422" s="150" t="s">
        <v>1130</v>
      </c>
      <c r="D422" s="191">
        <v>213.44344509631694</v>
      </c>
      <c r="E422" s="5"/>
      <c r="F422" s="5"/>
    </row>
    <row r="423" spans="1:6" x14ac:dyDescent="0.2">
      <c r="A423" s="36" t="s">
        <v>708</v>
      </c>
      <c r="B423" s="129" t="s">
        <v>1131</v>
      </c>
      <c r="C423" s="150" t="s">
        <v>1132</v>
      </c>
      <c r="D423" s="191">
        <v>202.98027100540787</v>
      </c>
      <c r="E423" s="5"/>
      <c r="F423" s="5"/>
    </row>
    <row r="424" spans="1:6" ht="31.5" x14ac:dyDescent="0.2">
      <c r="A424" s="36" t="s">
        <v>709</v>
      </c>
      <c r="B424" s="129" t="s">
        <v>1133</v>
      </c>
      <c r="C424" s="150" t="s">
        <v>1134</v>
      </c>
      <c r="D424" s="191">
        <v>244.00645066449871</v>
      </c>
      <c r="E424" s="5"/>
      <c r="F424" s="5"/>
    </row>
    <row r="425" spans="1:6" x14ac:dyDescent="0.2">
      <c r="A425" s="36" t="s">
        <v>710</v>
      </c>
      <c r="B425" s="129" t="s">
        <v>1135</v>
      </c>
      <c r="C425" s="150" t="s">
        <v>1136</v>
      </c>
      <c r="D425" s="191">
        <v>290.25645066449874</v>
      </c>
      <c r="E425" s="5"/>
      <c r="F425" s="5"/>
    </row>
    <row r="426" spans="1:6" x14ac:dyDescent="0.2">
      <c r="A426" s="36" t="s">
        <v>711</v>
      </c>
      <c r="B426" s="128" t="s">
        <v>1137</v>
      </c>
      <c r="C426" s="150" t="s">
        <v>1138</v>
      </c>
      <c r="D426" s="191">
        <v>292.35746180086238</v>
      </c>
      <c r="E426" s="5"/>
      <c r="F426" s="5"/>
    </row>
    <row r="427" spans="1:6" x14ac:dyDescent="0.2">
      <c r="A427" s="36" t="s">
        <v>712</v>
      </c>
      <c r="B427" s="127" t="s">
        <v>1139</v>
      </c>
      <c r="C427" s="150" t="s">
        <v>1140</v>
      </c>
      <c r="D427" s="191">
        <v>295.03279884631695</v>
      </c>
      <c r="E427" s="5"/>
      <c r="F427" s="5"/>
    </row>
    <row r="428" spans="1:6" ht="18" customHeight="1" x14ac:dyDescent="0.2">
      <c r="A428" s="36" t="s">
        <v>713</v>
      </c>
      <c r="B428" s="127" t="s">
        <v>1141</v>
      </c>
      <c r="C428" s="150" t="s">
        <v>1142</v>
      </c>
      <c r="D428" s="191">
        <v>209.0431080508624</v>
      </c>
      <c r="E428" s="5"/>
      <c r="F428" s="5"/>
    </row>
    <row r="429" spans="1:6" x14ac:dyDescent="0.2">
      <c r="A429" s="36" t="s">
        <v>714</v>
      </c>
      <c r="B429" s="129" t="s">
        <v>1143</v>
      </c>
      <c r="C429" s="150" t="s">
        <v>1144</v>
      </c>
      <c r="D429" s="191">
        <v>200.81673831520391</v>
      </c>
      <c r="E429" s="5"/>
      <c r="F429" s="5"/>
    </row>
    <row r="430" spans="1:6" x14ac:dyDescent="0.2">
      <c r="A430" s="36" t="s">
        <v>715</v>
      </c>
      <c r="B430" s="129" t="s">
        <v>1145</v>
      </c>
      <c r="C430" s="150" t="s">
        <v>1146</v>
      </c>
      <c r="D430" s="191">
        <v>309.98246180086244</v>
      </c>
      <c r="E430" s="5"/>
      <c r="F430" s="5"/>
    </row>
    <row r="431" spans="1:6" x14ac:dyDescent="0.2">
      <c r="A431" s="36" t="s">
        <v>716</v>
      </c>
      <c r="B431" s="127" t="s">
        <v>1147</v>
      </c>
      <c r="C431" s="150" t="s">
        <v>1148</v>
      </c>
      <c r="D431" s="191">
        <v>248.13128214177146</v>
      </c>
      <c r="E431" s="5"/>
      <c r="F431" s="5"/>
    </row>
    <row r="432" spans="1:6" x14ac:dyDescent="0.2">
      <c r="A432" s="36" t="s">
        <v>717</v>
      </c>
      <c r="B432" s="129" t="s">
        <v>1149</v>
      </c>
      <c r="C432" s="150" t="s">
        <v>1150</v>
      </c>
      <c r="D432" s="191">
        <v>235.36895066449873</v>
      </c>
      <c r="E432" s="5"/>
      <c r="F432" s="5"/>
    </row>
    <row r="433" spans="1:6" x14ac:dyDescent="0.2">
      <c r="A433" s="36" t="s">
        <v>718</v>
      </c>
      <c r="B433" s="129" t="s">
        <v>1151</v>
      </c>
      <c r="C433" s="150" t="s">
        <v>1152</v>
      </c>
      <c r="D433" s="191">
        <v>249.6814506644987</v>
      </c>
      <c r="E433" s="5"/>
      <c r="F433" s="5"/>
    </row>
    <row r="434" spans="1:6" x14ac:dyDescent="0.2">
      <c r="A434" s="36" t="s">
        <v>736</v>
      </c>
      <c r="B434" s="128" t="s">
        <v>1153</v>
      </c>
      <c r="C434" s="150" t="s">
        <v>1154</v>
      </c>
      <c r="D434" s="191">
        <v>243.26270066449871</v>
      </c>
    </row>
    <row r="435" spans="1:6" x14ac:dyDescent="0.2">
      <c r="A435" s="36" t="s">
        <v>737</v>
      </c>
      <c r="B435" s="127" t="s">
        <v>1155</v>
      </c>
      <c r="C435" s="150" t="s">
        <v>1156</v>
      </c>
      <c r="D435" s="191">
        <v>491.69733225540779</v>
      </c>
    </row>
    <row r="436" spans="1:6" x14ac:dyDescent="0.2">
      <c r="A436" s="36" t="s">
        <v>738</v>
      </c>
      <c r="B436" s="127" t="s">
        <v>1157</v>
      </c>
      <c r="C436" s="150" t="s">
        <v>1158</v>
      </c>
      <c r="D436" s="191">
        <v>242.39765450269397</v>
      </c>
      <c r="E436" s="5"/>
      <c r="F436" s="5"/>
    </row>
    <row r="437" spans="1:6" ht="31.5" x14ac:dyDescent="0.2">
      <c r="A437" s="36" t="s">
        <v>739</v>
      </c>
      <c r="B437" s="127" t="s">
        <v>1159</v>
      </c>
      <c r="C437" s="150" t="s">
        <v>1160</v>
      </c>
      <c r="D437" s="191">
        <v>239.20998597996663</v>
      </c>
      <c r="E437" s="5"/>
      <c r="F437" s="5"/>
    </row>
    <row r="438" spans="1:6" x14ac:dyDescent="0.2">
      <c r="A438" s="36" t="s">
        <v>740</v>
      </c>
      <c r="B438" s="129" t="s">
        <v>1161</v>
      </c>
      <c r="C438" s="150" t="s">
        <v>1162</v>
      </c>
      <c r="D438" s="191">
        <v>226.00998597996664</v>
      </c>
      <c r="E438" s="5"/>
      <c r="F438" s="5"/>
    </row>
    <row r="439" spans="1:6" x14ac:dyDescent="0.2">
      <c r="A439" s="36" t="s">
        <v>741</v>
      </c>
      <c r="B439" s="129" t="s">
        <v>1163</v>
      </c>
      <c r="C439" s="150" t="s">
        <v>1164</v>
      </c>
      <c r="D439" s="191">
        <v>216.18481745723938</v>
      </c>
      <c r="E439" s="5"/>
      <c r="F439" s="5"/>
    </row>
    <row r="440" spans="1:6" x14ac:dyDescent="0.2">
      <c r="A440" s="36" t="s">
        <v>742</v>
      </c>
      <c r="B440" s="127" t="s">
        <v>1165</v>
      </c>
      <c r="C440" s="150" t="s">
        <v>1166</v>
      </c>
      <c r="D440" s="191">
        <v>251.71032302542125</v>
      </c>
      <c r="E440" s="5"/>
      <c r="F440" s="5"/>
    </row>
    <row r="441" spans="1:6" x14ac:dyDescent="0.2">
      <c r="A441" s="36" t="s">
        <v>743</v>
      </c>
      <c r="B441" s="127" t="s">
        <v>1167</v>
      </c>
      <c r="C441" s="150" t="s">
        <v>1168</v>
      </c>
      <c r="D441" s="191">
        <v>229.33498597996663</v>
      </c>
      <c r="E441" s="5"/>
      <c r="F441" s="5"/>
    </row>
    <row r="442" spans="1:6" x14ac:dyDescent="0.2">
      <c r="A442" s="36" t="s">
        <v>744</v>
      </c>
      <c r="B442" s="127" t="s">
        <v>1169</v>
      </c>
      <c r="C442" s="150" t="s">
        <v>1170</v>
      </c>
      <c r="D442" s="191">
        <v>295.39549154814847</v>
      </c>
      <c r="E442" s="5"/>
      <c r="F442" s="5"/>
    </row>
    <row r="443" spans="1:6" x14ac:dyDescent="0.2">
      <c r="A443" s="36" t="s">
        <v>865</v>
      </c>
      <c r="B443" s="127" t="s">
        <v>1171</v>
      </c>
      <c r="C443" s="150" t="s">
        <v>1172</v>
      </c>
      <c r="D443" s="191">
        <v>277.74765450269393</v>
      </c>
      <c r="E443" s="5"/>
      <c r="F443" s="5"/>
    </row>
    <row r="444" spans="1:6" x14ac:dyDescent="0.2">
      <c r="A444" s="36" t="s">
        <v>745</v>
      </c>
      <c r="B444" s="127" t="s">
        <v>1173</v>
      </c>
      <c r="C444" s="150" t="s">
        <v>1174</v>
      </c>
      <c r="D444" s="191">
        <v>288.18282302542121</v>
      </c>
      <c r="E444" s="5"/>
      <c r="F444" s="5"/>
    </row>
    <row r="445" spans="1:6" x14ac:dyDescent="0.2">
      <c r="A445" s="36" t="s">
        <v>866</v>
      </c>
      <c r="B445" s="127" t="s">
        <v>1175</v>
      </c>
      <c r="C445" s="150" t="s">
        <v>1176</v>
      </c>
      <c r="D445" s="191">
        <v>386.71032302542125</v>
      </c>
      <c r="E445" s="5"/>
      <c r="F445" s="5"/>
    </row>
    <row r="446" spans="1:6" x14ac:dyDescent="0.2">
      <c r="A446" s="36" t="s">
        <v>867</v>
      </c>
      <c r="B446" s="129" t="s">
        <v>1179</v>
      </c>
      <c r="C446" s="150" t="s">
        <v>1180</v>
      </c>
      <c r="D446" s="191">
        <v>519.16877339076609</v>
      </c>
    </row>
    <row r="447" spans="1:6" x14ac:dyDescent="0.2">
      <c r="A447" s="36" t="s">
        <v>868</v>
      </c>
      <c r="B447" s="127" t="s">
        <v>1181</v>
      </c>
      <c r="C447" s="150" t="s">
        <v>1182</v>
      </c>
      <c r="D447" s="191">
        <v>288.36338066349327</v>
      </c>
    </row>
    <row r="448" spans="1:6" x14ac:dyDescent="0.2">
      <c r="A448" s="36" t="s">
        <v>746</v>
      </c>
      <c r="B448" s="127" t="s">
        <v>1183</v>
      </c>
      <c r="C448" s="150" t="s">
        <v>1184</v>
      </c>
      <c r="D448" s="191">
        <v>334.14855041443326</v>
      </c>
      <c r="E448" s="5"/>
      <c r="F448" s="5"/>
    </row>
    <row r="449" spans="1:6" ht="31.5" x14ac:dyDescent="0.2">
      <c r="A449" s="36" t="s">
        <v>869</v>
      </c>
      <c r="B449" s="127" t="s">
        <v>1261</v>
      </c>
      <c r="C449" s="150" t="s">
        <v>1262</v>
      </c>
      <c r="D449" s="95">
        <v>449.90019848909077</v>
      </c>
    </row>
    <row r="450" spans="1:6" x14ac:dyDescent="0.2">
      <c r="A450" s="36" t="s">
        <v>870</v>
      </c>
      <c r="B450" s="127" t="s">
        <v>1177</v>
      </c>
      <c r="C450" s="150" t="s">
        <v>1178</v>
      </c>
      <c r="D450" s="191">
        <v>533.5941104362206</v>
      </c>
    </row>
    <row r="451" spans="1:6" x14ac:dyDescent="0.2">
      <c r="A451" s="35"/>
      <c r="B451" s="171" t="s">
        <v>1265</v>
      </c>
      <c r="C451" s="136"/>
      <c r="D451" s="95"/>
    </row>
    <row r="452" spans="1:6" x14ac:dyDescent="0.2">
      <c r="A452" s="36" t="s">
        <v>871</v>
      </c>
      <c r="B452" s="127" t="s">
        <v>1185</v>
      </c>
      <c r="C452" s="150" t="s">
        <v>1186</v>
      </c>
      <c r="D452" s="191">
        <v>227.53147221833905</v>
      </c>
    </row>
    <row r="453" spans="1:6" x14ac:dyDescent="0.2">
      <c r="A453" s="36" t="s">
        <v>872</v>
      </c>
      <c r="B453" s="129" t="s">
        <v>1187</v>
      </c>
      <c r="C453" s="150" t="s">
        <v>1188</v>
      </c>
      <c r="D453" s="191">
        <v>227.3825049085429</v>
      </c>
    </row>
    <row r="454" spans="1:6" x14ac:dyDescent="0.2">
      <c r="A454" s="36" t="s">
        <v>747</v>
      </c>
      <c r="B454" s="129" t="s">
        <v>1189</v>
      </c>
      <c r="C454" s="150" t="s">
        <v>1190</v>
      </c>
      <c r="D454" s="191">
        <v>227.3825049085429</v>
      </c>
    </row>
    <row r="455" spans="1:6" x14ac:dyDescent="0.2">
      <c r="A455" s="36" t="s">
        <v>873</v>
      </c>
      <c r="B455" s="129" t="s">
        <v>1191</v>
      </c>
      <c r="C455" s="150" t="s">
        <v>1192</v>
      </c>
      <c r="D455" s="191">
        <v>227.3825049085429</v>
      </c>
    </row>
    <row r="456" spans="1:6" x14ac:dyDescent="0.2">
      <c r="A456" s="36" t="s">
        <v>772</v>
      </c>
      <c r="B456" s="127" t="s">
        <v>1193</v>
      </c>
      <c r="C456" s="150" t="s">
        <v>1194</v>
      </c>
      <c r="D456" s="191">
        <v>227.3825049085429</v>
      </c>
      <c r="E456" s="5"/>
      <c r="F456" s="5"/>
    </row>
    <row r="457" spans="1:6" x14ac:dyDescent="0.2">
      <c r="A457" s="35"/>
      <c r="B457" s="171" t="s">
        <v>1266</v>
      </c>
      <c r="C457" s="136"/>
      <c r="D457" s="95"/>
      <c r="E457" s="5"/>
      <c r="F457" s="5"/>
    </row>
    <row r="458" spans="1:6" x14ac:dyDescent="0.2">
      <c r="A458" s="36" t="s">
        <v>874</v>
      </c>
      <c r="B458" s="126" t="s">
        <v>1195</v>
      </c>
      <c r="C458" s="150" t="s">
        <v>1196</v>
      </c>
      <c r="D458" s="95">
        <v>232.51140207343823</v>
      </c>
      <c r="E458" s="5"/>
      <c r="F458" s="5"/>
    </row>
    <row r="459" spans="1:6" x14ac:dyDescent="0.2">
      <c r="A459" s="36" t="s">
        <v>875</v>
      </c>
      <c r="B459" s="127" t="s">
        <v>1197</v>
      </c>
      <c r="C459" s="150" t="s">
        <v>1198</v>
      </c>
      <c r="D459" s="95">
        <v>225.29873355071095</v>
      </c>
      <c r="E459" s="5"/>
      <c r="F459" s="5"/>
    </row>
    <row r="460" spans="1:6" x14ac:dyDescent="0.2">
      <c r="A460" s="36" t="s">
        <v>773</v>
      </c>
      <c r="B460" s="127" t="s">
        <v>1199</v>
      </c>
      <c r="C460" s="150" t="s">
        <v>1200</v>
      </c>
      <c r="D460" s="95">
        <v>210.87339650525644</v>
      </c>
      <c r="E460" s="5"/>
      <c r="F460" s="5"/>
    </row>
    <row r="461" spans="1:6" x14ac:dyDescent="0.2">
      <c r="A461" s="36" t="s">
        <v>774</v>
      </c>
      <c r="B461" s="127" t="s">
        <v>1201</v>
      </c>
      <c r="C461" s="150" t="s">
        <v>1202</v>
      </c>
      <c r="D461" s="95">
        <v>225.29873355071095</v>
      </c>
      <c r="E461" s="5"/>
      <c r="F461" s="5"/>
    </row>
    <row r="462" spans="1:6" x14ac:dyDescent="0.2">
      <c r="A462" s="36" t="s">
        <v>876</v>
      </c>
      <c r="B462" s="127" t="s">
        <v>1203</v>
      </c>
      <c r="C462" s="150" t="s">
        <v>1204</v>
      </c>
      <c r="D462" s="95">
        <v>225.29873355071095</v>
      </c>
      <c r="E462" s="5"/>
      <c r="F462" s="5"/>
    </row>
    <row r="463" spans="1:6" x14ac:dyDescent="0.2">
      <c r="A463" s="36" t="s">
        <v>877</v>
      </c>
      <c r="B463" s="129" t="s">
        <v>1205</v>
      </c>
      <c r="C463" s="150" t="s">
        <v>1206</v>
      </c>
      <c r="D463" s="95">
        <v>225.29873355071095</v>
      </c>
      <c r="E463" s="5"/>
      <c r="F463" s="5"/>
    </row>
    <row r="464" spans="1:6" x14ac:dyDescent="0.2">
      <c r="A464" s="36" t="s">
        <v>775</v>
      </c>
      <c r="B464" s="127" t="s">
        <v>1207</v>
      </c>
      <c r="C464" s="150" t="s">
        <v>1208</v>
      </c>
      <c r="D464" s="95">
        <v>246.93673911889277</v>
      </c>
      <c r="E464" s="5"/>
      <c r="F464" s="5"/>
    </row>
    <row r="465" spans="1:6" x14ac:dyDescent="0.2">
      <c r="A465" s="35"/>
      <c r="B465" s="171" t="s">
        <v>1267</v>
      </c>
      <c r="C465" s="136"/>
      <c r="D465" s="95"/>
      <c r="E465" s="5"/>
      <c r="F465" s="5"/>
    </row>
    <row r="466" spans="1:6" x14ac:dyDescent="0.2">
      <c r="A466" s="36" t="s">
        <v>921</v>
      </c>
      <c r="B466" s="127" t="s">
        <v>1209</v>
      </c>
      <c r="C466" s="150" t="s">
        <v>1210</v>
      </c>
      <c r="D466" s="95">
        <v>299.89759173763787</v>
      </c>
      <c r="E466" s="5"/>
      <c r="F466" s="5"/>
    </row>
    <row r="467" spans="1:6" ht="31.5" x14ac:dyDescent="0.2">
      <c r="A467" s="36" t="s">
        <v>878</v>
      </c>
      <c r="B467" s="127" t="s">
        <v>1211</v>
      </c>
      <c r="C467" s="150" t="s">
        <v>1212</v>
      </c>
      <c r="D467" s="95">
        <v>292.77259173763787</v>
      </c>
      <c r="E467" s="5"/>
      <c r="F467" s="5"/>
    </row>
    <row r="468" spans="1:6" x14ac:dyDescent="0.2">
      <c r="A468" s="36" t="s">
        <v>879</v>
      </c>
      <c r="B468" s="127" t="s">
        <v>1213</v>
      </c>
      <c r="C468" s="150" t="s">
        <v>1214</v>
      </c>
      <c r="D468" s="95">
        <v>292.77259173763787</v>
      </c>
      <c r="E468" s="5"/>
      <c r="F468" s="5"/>
    </row>
    <row r="469" spans="1:6" x14ac:dyDescent="0.2">
      <c r="A469" s="36" t="s">
        <v>880</v>
      </c>
      <c r="B469" s="127" t="s">
        <v>1215</v>
      </c>
      <c r="C469" s="150" t="s">
        <v>1216</v>
      </c>
      <c r="D469" s="95">
        <v>307.77506632784582</v>
      </c>
      <c r="E469" s="5"/>
      <c r="F469" s="5"/>
    </row>
    <row r="470" spans="1:6" x14ac:dyDescent="0.2">
      <c r="A470" s="36" t="s">
        <v>776</v>
      </c>
      <c r="B470" s="127" t="s">
        <v>1217</v>
      </c>
      <c r="C470" s="150" t="s">
        <v>1218</v>
      </c>
      <c r="D470" s="95">
        <v>299.98526026036524</v>
      </c>
      <c r="E470" s="5"/>
      <c r="F470" s="5"/>
    </row>
    <row r="471" spans="1:6" x14ac:dyDescent="0.2">
      <c r="A471" s="35"/>
      <c r="B471" s="171" t="s">
        <v>1268</v>
      </c>
      <c r="C471" s="136"/>
      <c r="D471" s="95"/>
      <c r="E471" s="5"/>
      <c r="F471" s="5"/>
    </row>
    <row r="472" spans="1:6" x14ac:dyDescent="0.2">
      <c r="A472" s="36" t="s">
        <v>777</v>
      </c>
      <c r="B472" s="127" t="s">
        <v>1219</v>
      </c>
      <c r="C472" s="150" t="s">
        <v>1220</v>
      </c>
      <c r="D472" s="95">
        <v>308.01832339790224</v>
      </c>
      <c r="E472" s="5"/>
      <c r="F472" s="5"/>
    </row>
    <row r="473" spans="1:6" x14ac:dyDescent="0.2">
      <c r="A473" s="36" t="s">
        <v>778</v>
      </c>
      <c r="B473" s="127" t="s">
        <v>1221</v>
      </c>
      <c r="C473" s="150" t="s">
        <v>1222</v>
      </c>
      <c r="D473" s="95">
        <v>296.093959975453</v>
      </c>
      <c r="E473" s="5"/>
      <c r="F473" s="5"/>
    </row>
    <row r="474" spans="1:6" ht="15" customHeight="1" x14ac:dyDescent="0.2">
      <c r="A474" s="36" t="s">
        <v>923</v>
      </c>
      <c r="B474" s="127" t="s">
        <v>1223</v>
      </c>
      <c r="C474" s="150" t="s">
        <v>1224</v>
      </c>
      <c r="D474" s="95">
        <v>334.51315003895036</v>
      </c>
      <c r="E474" s="5"/>
      <c r="F474" s="5"/>
    </row>
    <row r="475" spans="1:6" x14ac:dyDescent="0.2">
      <c r="A475" s="36" t="s">
        <v>1789</v>
      </c>
      <c r="B475" s="127" t="s">
        <v>1225</v>
      </c>
      <c r="C475" s="150" t="s">
        <v>1226</v>
      </c>
      <c r="D475" s="95">
        <v>296.093959975453</v>
      </c>
      <c r="E475" s="5"/>
      <c r="F475" s="5"/>
    </row>
    <row r="476" spans="1:6" x14ac:dyDescent="0.2">
      <c r="A476" s="36" t="s">
        <v>1790</v>
      </c>
      <c r="B476" s="127" t="s">
        <v>1227</v>
      </c>
      <c r="C476" s="150" t="s">
        <v>1228</v>
      </c>
      <c r="D476" s="95">
        <v>334.51315003895036</v>
      </c>
      <c r="E476" s="5"/>
      <c r="F476" s="5"/>
    </row>
    <row r="477" spans="1:6" ht="18" customHeight="1" x14ac:dyDescent="0.2">
      <c r="A477" s="36" t="s">
        <v>1791</v>
      </c>
      <c r="B477" s="127" t="s">
        <v>1229</v>
      </c>
      <c r="C477" s="150" t="s">
        <v>1230</v>
      </c>
      <c r="D477" s="95">
        <v>298.44980742531396</v>
      </c>
      <c r="E477" s="5"/>
      <c r="F477" s="5"/>
    </row>
    <row r="478" spans="1:6" x14ac:dyDescent="0.2">
      <c r="A478" s="36" t="s">
        <v>1792</v>
      </c>
      <c r="B478" s="127" t="s">
        <v>1231</v>
      </c>
      <c r="C478" s="150" t="s">
        <v>1232</v>
      </c>
      <c r="D478" s="95">
        <v>296.093959975453</v>
      </c>
      <c r="E478" s="5"/>
      <c r="F478" s="5"/>
    </row>
    <row r="479" spans="1:6" x14ac:dyDescent="0.2">
      <c r="A479" s="36" t="s">
        <v>1793</v>
      </c>
      <c r="B479" s="127" t="s">
        <v>1233</v>
      </c>
      <c r="C479" s="150" t="s">
        <v>1234</v>
      </c>
      <c r="D479" s="95">
        <v>434.91000466455495</v>
      </c>
      <c r="E479" s="5"/>
      <c r="F479" s="5"/>
    </row>
    <row r="480" spans="1:6" x14ac:dyDescent="0.2">
      <c r="A480" s="36" t="s">
        <v>1794</v>
      </c>
      <c r="B480" s="127" t="s">
        <v>1235</v>
      </c>
      <c r="C480" s="150" t="s">
        <v>1236</v>
      </c>
      <c r="D480" s="95">
        <v>434.91000466455495</v>
      </c>
      <c r="E480" s="5"/>
      <c r="F480" s="5"/>
    </row>
    <row r="481" spans="1:6" ht="19.5" customHeight="1" x14ac:dyDescent="0.2">
      <c r="A481" s="36" t="s">
        <v>1795</v>
      </c>
      <c r="B481" s="127" t="s">
        <v>1237</v>
      </c>
      <c r="C481" s="150" t="s">
        <v>1238</v>
      </c>
      <c r="D481" s="95">
        <v>321.07702606949215</v>
      </c>
      <c r="E481" s="5"/>
      <c r="F481" s="5"/>
    </row>
    <row r="482" spans="1:6" ht="31.5" x14ac:dyDescent="0.2">
      <c r="A482" s="36" t="s">
        <v>1796</v>
      </c>
      <c r="B482" s="127" t="s">
        <v>1239</v>
      </c>
      <c r="C482" s="150" t="s">
        <v>1240</v>
      </c>
      <c r="D482" s="95">
        <v>321.07702606949215</v>
      </c>
      <c r="E482" s="5"/>
      <c r="F482" s="5"/>
    </row>
    <row r="483" spans="1:6" x14ac:dyDescent="0.2">
      <c r="A483" s="36" t="s">
        <v>1797</v>
      </c>
      <c r="B483" s="127" t="s">
        <v>1241</v>
      </c>
      <c r="C483" s="150" t="s">
        <v>1242</v>
      </c>
      <c r="D483" s="95">
        <v>321.20202606949221</v>
      </c>
      <c r="E483" s="5"/>
      <c r="F483" s="5"/>
    </row>
    <row r="484" spans="1:6" x14ac:dyDescent="0.2">
      <c r="A484" s="36" t="s">
        <v>1477</v>
      </c>
      <c r="B484" s="127" t="s">
        <v>1243</v>
      </c>
      <c r="C484" s="150" t="s">
        <v>1244</v>
      </c>
      <c r="D484" s="95">
        <v>367.72417675800011</v>
      </c>
      <c r="E484" s="5"/>
      <c r="F484" s="5"/>
    </row>
    <row r="485" spans="1:6" x14ac:dyDescent="0.2">
      <c r="A485" s="36" t="s">
        <v>1798</v>
      </c>
      <c r="B485" s="127" t="s">
        <v>1245</v>
      </c>
      <c r="C485" s="150" t="s">
        <v>1246</v>
      </c>
      <c r="D485" s="95">
        <v>322.44366044335675</v>
      </c>
      <c r="E485" s="5"/>
      <c r="F485" s="5"/>
    </row>
    <row r="486" spans="1:6" x14ac:dyDescent="0.2">
      <c r="A486" s="36" t="s">
        <v>1799</v>
      </c>
      <c r="B486" s="127" t="s">
        <v>1247</v>
      </c>
      <c r="C486" s="150" t="s">
        <v>1248</v>
      </c>
      <c r="D486" s="95">
        <v>296.66959655300371</v>
      </c>
      <c r="E486" s="5"/>
      <c r="F486" s="5"/>
    </row>
    <row r="487" spans="1:6" x14ac:dyDescent="0.2">
      <c r="A487" s="36" t="s">
        <v>1800</v>
      </c>
      <c r="B487" s="127" t="s">
        <v>1249</v>
      </c>
      <c r="C487" s="150" t="s">
        <v>1250</v>
      </c>
      <c r="D487" s="95">
        <v>410.68201036094138</v>
      </c>
      <c r="E487" s="5"/>
      <c r="F487" s="5"/>
    </row>
    <row r="488" spans="1:6" x14ac:dyDescent="0.2">
      <c r="A488" s="36" t="s">
        <v>1801</v>
      </c>
      <c r="B488" s="127" t="s">
        <v>1255</v>
      </c>
      <c r="C488" s="150" t="s">
        <v>1256</v>
      </c>
      <c r="D488" s="95">
        <v>513.94289885347132</v>
      </c>
      <c r="E488" s="5"/>
      <c r="F488" s="5"/>
    </row>
    <row r="489" spans="1:6" ht="31.5" x14ac:dyDescent="0.2">
      <c r="A489" s="36" t="s">
        <v>1802</v>
      </c>
      <c r="B489" s="127" t="s">
        <v>1257</v>
      </c>
      <c r="C489" s="150" t="s">
        <v>1258</v>
      </c>
      <c r="D489" s="95">
        <v>513.94289885347132</v>
      </c>
      <c r="E489" s="5"/>
      <c r="F489" s="5"/>
    </row>
    <row r="490" spans="1:6" x14ac:dyDescent="0.2">
      <c r="A490" s="35"/>
      <c r="B490" s="171" t="s">
        <v>1269</v>
      </c>
      <c r="C490" s="136"/>
      <c r="D490" s="95"/>
    </row>
    <row r="491" spans="1:6" ht="23.25" customHeight="1" x14ac:dyDescent="0.2">
      <c r="A491" s="36" t="s">
        <v>1803</v>
      </c>
      <c r="B491" s="127" t="s">
        <v>1251</v>
      </c>
      <c r="C491" s="150" t="s">
        <v>1252</v>
      </c>
      <c r="D491" s="95">
        <v>427.66188887355673</v>
      </c>
      <c r="E491" s="5"/>
      <c r="F491" s="5"/>
    </row>
    <row r="492" spans="1:6" ht="31.5" x14ac:dyDescent="0.2">
      <c r="A492" s="36" t="s">
        <v>1804</v>
      </c>
      <c r="B492" s="127" t="s">
        <v>1253</v>
      </c>
      <c r="C492" s="150" t="s">
        <v>1254</v>
      </c>
      <c r="D492" s="95">
        <v>377.77295396051898</v>
      </c>
      <c r="E492" s="5"/>
      <c r="F492" s="5"/>
    </row>
    <row r="493" spans="1:6" x14ac:dyDescent="0.2">
      <c r="A493" s="35"/>
      <c r="B493" s="171" t="s">
        <v>1786</v>
      </c>
      <c r="C493" s="136"/>
      <c r="D493" s="95"/>
    </row>
    <row r="494" spans="1:6" ht="47.25" x14ac:dyDescent="0.2">
      <c r="A494" s="36" t="s">
        <v>1805</v>
      </c>
      <c r="B494" s="127" t="s">
        <v>1452</v>
      </c>
      <c r="C494" s="150" t="s">
        <v>1453</v>
      </c>
      <c r="D494" s="95">
        <v>447.59263218181826</v>
      </c>
    </row>
    <row r="495" spans="1:6" ht="31.5" x14ac:dyDescent="0.2">
      <c r="A495" s="36" t="s">
        <v>1806</v>
      </c>
      <c r="B495" s="127" t="s">
        <v>1454</v>
      </c>
      <c r="C495" s="150" t="s">
        <v>1455</v>
      </c>
      <c r="D495" s="95">
        <v>266.87697195454547</v>
      </c>
    </row>
    <row r="496" spans="1:6" ht="31.5" x14ac:dyDescent="0.2">
      <c r="A496" s="36" t="s">
        <v>1807</v>
      </c>
      <c r="B496" s="130" t="s">
        <v>1456</v>
      </c>
      <c r="C496" s="150" t="s">
        <v>1457</v>
      </c>
      <c r="D496" s="95">
        <v>266.87697195454547</v>
      </c>
    </row>
    <row r="497" spans="1:6" ht="31.5" x14ac:dyDescent="0.2">
      <c r="A497" s="36" t="s">
        <v>1808</v>
      </c>
      <c r="B497" s="131" t="s">
        <v>1459</v>
      </c>
      <c r="C497" s="150" t="s">
        <v>1458</v>
      </c>
      <c r="D497" s="95">
        <v>266.87697195454547</v>
      </c>
    </row>
    <row r="498" spans="1:6" x14ac:dyDescent="0.2">
      <c r="A498" s="35"/>
      <c r="B498" s="171" t="s">
        <v>1787</v>
      </c>
      <c r="C498" s="150"/>
      <c r="D498" s="95"/>
    </row>
    <row r="499" spans="1:6" x14ac:dyDescent="0.2">
      <c r="A499" s="36" t="s">
        <v>1809</v>
      </c>
      <c r="B499" s="127" t="s">
        <v>1442</v>
      </c>
      <c r="C499" s="150" t="s">
        <v>1443</v>
      </c>
      <c r="D499" s="95">
        <v>243.32652086363638</v>
      </c>
    </row>
    <row r="500" spans="1:6" ht="31.5" x14ac:dyDescent="0.2">
      <c r="A500" s="36" t="s">
        <v>1810</v>
      </c>
      <c r="B500" s="127" t="s">
        <v>1446</v>
      </c>
      <c r="C500" s="150" t="s">
        <v>1447</v>
      </c>
      <c r="D500" s="95">
        <v>189.68501963636365</v>
      </c>
    </row>
    <row r="501" spans="1:6" ht="31.5" x14ac:dyDescent="0.2">
      <c r="A501" s="36" t="s">
        <v>1811</v>
      </c>
      <c r="B501" s="127" t="s">
        <v>1444</v>
      </c>
      <c r="C501" s="150" t="s">
        <v>1445</v>
      </c>
      <c r="D501" s="95">
        <v>189.68501963636365</v>
      </c>
    </row>
    <row r="502" spans="1:6" ht="47.25" x14ac:dyDescent="0.2">
      <c r="A502" s="36" t="s">
        <v>1812</v>
      </c>
      <c r="B502" s="127" t="s">
        <v>1448</v>
      </c>
      <c r="C502" s="150" t="s">
        <v>1449</v>
      </c>
      <c r="D502" s="95">
        <v>189.68501963636365</v>
      </c>
    </row>
    <row r="503" spans="1:6" ht="63" x14ac:dyDescent="0.2">
      <c r="A503" s="36" t="s">
        <v>1813</v>
      </c>
      <c r="B503" s="127" t="s">
        <v>1450</v>
      </c>
      <c r="C503" s="150" t="s">
        <v>1451</v>
      </c>
      <c r="D503" s="95">
        <v>189.68501963636365</v>
      </c>
    </row>
    <row r="504" spans="1:6" ht="36" customHeight="1" x14ac:dyDescent="0.2">
      <c r="A504" s="36" t="s">
        <v>1814</v>
      </c>
      <c r="B504" s="127" t="s">
        <v>1460</v>
      </c>
      <c r="C504" s="150" t="s">
        <v>1461</v>
      </c>
      <c r="D504" s="95">
        <v>286.75945296103896</v>
      </c>
    </row>
    <row r="505" spans="1:6" ht="47.25" x14ac:dyDescent="0.2">
      <c r="A505" s="36" t="s">
        <v>1815</v>
      </c>
      <c r="B505" s="127" t="s">
        <v>1462</v>
      </c>
      <c r="C505" s="150" t="s">
        <v>1463</v>
      </c>
      <c r="D505" s="95">
        <v>286.75945296103896</v>
      </c>
    </row>
    <row r="506" spans="1:6" ht="47.25" x14ac:dyDescent="0.2">
      <c r="A506" s="36" t="s">
        <v>1816</v>
      </c>
      <c r="B506" s="127" t="s">
        <v>1464</v>
      </c>
      <c r="C506" s="150" t="s">
        <v>1465</v>
      </c>
      <c r="D506" s="95">
        <v>383.25936049350651</v>
      </c>
    </row>
    <row r="507" spans="1:6" ht="37.5" customHeight="1" x14ac:dyDescent="0.2">
      <c r="A507" s="36" t="s">
        <v>1817</v>
      </c>
      <c r="B507" s="127" t="s">
        <v>1466</v>
      </c>
      <c r="C507" s="150" t="s">
        <v>1467</v>
      </c>
      <c r="D507" s="95">
        <v>196.84376238961039</v>
      </c>
    </row>
    <row r="508" spans="1:6" ht="33.75" customHeight="1" x14ac:dyDescent="0.2">
      <c r="A508" s="36" t="s">
        <v>1818</v>
      </c>
      <c r="B508" s="127" t="s">
        <v>1468</v>
      </c>
      <c r="C508" s="150" t="s">
        <v>1469</v>
      </c>
      <c r="D508" s="95">
        <v>196.84376238961039</v>
      </c>
    </row>
    <row r="509" spans="1:6" ht="31.5" x14ac:dyDescent="0.2">
      <c r="A509" s="36" t="s">
        <v>1819</v>
      </c>
      <c r="B509" s="127" t="s">
        <v>1470</v>
      </c>
      <c r="C509" s="150" t="s">
        <v>1471</v>
      </c>
      <c r="D509" s="95">
        <v>196.84376238961039</v>
      </c>
    </row>
    <row r="510" spans="1:6" ht="34.5" customHeight="1" x14ac:dyDescent="0.2">
      <c r="A510" s="36" t="s">
        <v>1820</v>
      </c>
      <c r="B510" s="127" t="s">
        <v>1472</v>
      </c>
      <c r="C510" s="150" t="s">
        <v>1473</v>
      </c>
      <c r="D510" s="95">
        <v>97.865828519480516</v>
      </c>
    </row>
    <row r="511" spans="1:6" s="6" customFormat="1" x14ac:dyDescent="0.2">
      <c r="A511" s="35"/>
      <c r="B511" s="171" t="s">
        <v>269</v>
      </c>
      <c r="C511" s="136"/>
      <c r="D511" s="95"/>
      <c r="E511" s="48"/>
      <c r="F511" s="16"/>
    </row>
    <row r="512" spans="1:6" x14ac:dyDescent="0.2">
      <c r="A512" s="36" t="s">
        <v>1821</v>
      </c>
      <c r="B512" s="125" t="s">
        <v>1035</v>
      </c>
      <c r="C512" s="143" t="s">
        <v>1959</v>
      </c>
      <c r="D512" s="95">
        <v>290.88272035704557</v>
      </c>
    </row>
    <row r="513" spans="1:4" x14ac:dyDescent="0.2">
      <c r="A513" s="36" t="s">
        <v>1822</v>
      </c>
      <c r="B513" s="125" t="s">
        <v>1036</v>
      </c>
      <c r="C513" s="143" t="s">
        <v>1960</v>
      </c>
      <c r="D513" s="95">
        <v>322.49125368738703</v>
      </c>
    </row>
    <row r="514" spans="1:4" x14ac:dyDescent="0.2">
      <c r="A514" s="36" t="s">
        <v>1823</v>
      </c>
      <c r="B514" s="125" t="s">
        <v>1037</v>
      </c>
      <c r="C514" s="143" t="s">
        <v>1961</v>
      </c>
      <c r="D514" s="95">
        <v>322.49125368738703</v>
      </c>
    </row>
    <row r="515" spans="1:4" ht="47.25" x14ac:dyDescent="0.2">
      <c r="A515" s="36" t="s">
        <v>1824</v>
      </c>
      <c r="B515" s="125" t="s">
        <v>1484</v>
      </c>
      <c r="C515" s="143" t="s">
        <v>1962</v>
      </c>
      <c r="D515" s="95">
        <v>2778.4183325646873</v>
      </c>
    </row>
    <row r="516" spans="1:4" ht="31.5" x14ac:dyDescent="0.2">
      <c r="A516" s="36" t="s">
        <v>1825</v>
      </c>
      <c r="B516" s="125" t="s">
        <v>1038</v>
      </c>
      <c r="C516" s="143" t="s">
        <v>1963</v>
      </c>
      <c r="D516" s="95">
        <v>976.66074965410894</v>
      </c>
    </row>
    <row r="517" spans="1:4" x14ac:dyDescent="0.2">
      <c r="A517" s="36" t="s">
        <v>1826</v>
      </c>
      <c r="B517" s="123" t="s">
        <v>1485</v>
      </c>
      <c r="C517" s="143" t="s">
        <v>744</v>
      </c>
      <c r="D517" s="95">
        <v>2899.5475290178251</v>
      </c>
    </row>
    <row r="518" spans="1:4" ht="20.25" customHeight="1" x14ac:dyDescent="0.2">
      <c r="A518" s="36" t="s">
        <v>1827</v>
      </c>
      <c r="B518" s="125" t="s">
        <v>233</v>
      </c>
      <c r="C518" s="143" t="s">
        <v>746</v>
      </c>
      <c r="D518" s="95">
        <v>2961.7225290178253</v>
      </c>
    </row>
    <row r="519" spans="1:4" x14ac:dyDescent="0.2">
      <c r="A519" s="36" t="s">
        <v>1828</v>
      </c>
      <c r="B519" s="125" t="s">
        <v>1486</v>
      </c>
      <c r="C519" s="143" t="s">
        <v>865</v>
      </c>
      <c r="D519" s="95">
        <v>3525.5297237722812</v>
      </c>
    </row>
    <row r="520" spans="1:4" ht="21.75" customHeight="1" x14ac:dyDescent="0.2">
      <c r="A520" s="36" t="s">
        <v>1478</v>
      </c>
      <c r="B520" s="123" t="s">
        <v>1487</v>
      </c>
      <c r="C520" s="143" t="s">
        <v>869</v>
      </c>
      <c r="D520" s="95">
        <v>3841.6563080356509</v>
      </c>
    </row>
    <row r="521" spans="1:4" x14ac:dyDescent="0.2">
      <c r="A521" s="36" t="s">
        <v>1829</v>
      </c>
      <c r="B521" s="123" t="s">
        <v>1488</v>
      </c>
      <c r="C521" s="143" t="s">
        <v>745</v>
      </c>
      <c r="D521" s="95">
        <v>5158.0313297990197</v>
      </c>
    </row>
    <row r="522" spans="1:4" ht="22.5" customHeight="1" x14ac:dyDescent="0.2">
      <c r="A522" s="36" t="s">
        <v>1830</v>
      </c>
      <c r="B522" s="125" t="s">
        <v>1489</v>
      </c>
      <c r="C522" s="143" t="s">
        <v>870</v>
      </c>
      <c r="D522" s="95">
        <v>4829.0319765623881</v>
      </c>
    </row>
    <row r="523" spans="1:4" ht="22.5" customHeight="1" x14ac:dyDescent="0.2">
      <c r="A523" s="36" t="s">
        <v>1831</v>
      </c>
      <c r="B523" s="125" t="s">
        <v>1490</v>
      </c>
      <c r="C523" s="143" t="s">
        <v>866</v>
      </c>
      <c r="D523" s="95">
        <v>3041.1559737722814</v>
      </c>
    </row>
    <row r="524" spans="1:4" ht="31.5" x14ac:dyDescent="0.2">
      <c r="A524" s="36" t="s">
        <v>1832</v>
      </c>
      <c r="B524" s="125" t="s">
        <v>226</v>
      </c>
      <c r="C524" s="143" t="s">
        <v>871</v>
      </c>
      <c r="D524" s="95">
        <v>3430.1800202008017</v>
      </c>
    </row>
    <row r="525" spans="1:4" ht="23.25" customHeight="1" x14ac:dyDescent="0.2">
      <c r="A525" s="36" t="s">
        <v>1833</v>
      </c>
      <c r="B525" s="125" t="s">
        <v>222</v>
      </c>
      <c r="C525" s="143" t="s">
        <v>867</v>
      </c>
      <c r="D525" s="95">
        <v>4254.5948864954544</v>
      </c>
    </row>
    <row r="526" spans="1:4" ht="31.5" x14ac:dyDescent="0.2">
      <c r="A526" s="36" t="s">
        <v>1834</v>
      </c>
      <c r="B526" s="125" t="s">
        <v>228</v>
      </c>
      <c r="C526" s="143" t="s">
        <v>872</v>
      </c>
      <c r="D526" s="95">
        <v>4056.7165899552583</v>
      </c>
    </row>
    <row r="527" spans="1:4" ht="23.25" customHeight="1" x14ac:dyDescent="0.2">
      <c r="A527" s="36" t="s">
        <v>1835</v>
      </c>
      <c r="B527" s="125" t="s">
        <v>223</v>
      </c>
      <c r="C527" s="143" t="s">
        <v>868</v>
      </c>
      <c r="D527" s="95">
        <v>4971.9871102677362</v>
      </c>
    </row>
    <row r="528" spans="1:4" ht="31.5" x14ac:dyDescent="0.2">
      <c r="A528" s="36" t="s">
        <v>1836</v>
      </c>
      <c r="B528" s="125" t="s">
        <v>227</v>
      </c>
      <c r="C528" s="143" t="s">
        <v>747</v>
      </c>
      <c r="D528" s="95">
        <v>4815.2432265623884</v>
      </c>
    </row>
    <row r="529" spans="1:4" x14ac:dyDescent="0.2">
      <c r="A529" s="36" t="s">
        <v>1837</v>
      </c>
      <c r="B529" s="125" t="s">
        <v>1039</v>
      </c>
      <c r="C529" s="143" t="s">
        <v>1985</v>
      </c>
      <c r="D529" s="95">
        <v>845.25</v>
      </c>
    </row>
    <row r="530" spans="1:4" x14ac:dyDescent="0.2">
      <c r="A530" s="36" t="s">
        <v>1838</v>
      </c>
      <c r="B530" s="125" t="s">
        <v>1040</v>
      </c>
      <c r="C530" s="143" t="s">
        <v>1986</v>
      </c>
      <c r="D530" s="95">
        <v>1209.6000000000001</v>
      </c>
    </row>
    <row r="531" spans="1:4" x14ac:dyDescent="0.2">
      <c r="A531" s="36" t="s">
        <v>1839</v>
      </c>
      <c r="B531" s="125" t="s">
        <v>1041</v>
      </c>
      <c r="C531" s="143" t="s">
        <v>1987</v>
      </c>
      <c r="D531" s="95">
        <v>1592.8500000000001</v>
      </c>
    </row>
    <row r="532" spans="1:4" ht="47.25" x14ac:dyDescent="0.2">
      <c r="A532" s="36" t="s">
        <v>1840</v>
      </c>
      <c r="B532" s="125" t="s">
        <v>1042</v>
      </c>
      <c r="C532" s="143" t="s">
        <v>1964</v>
      </c>
      <c r="D532" s="95">
        <v>1178.8023752271288</v>
      </c>
    </row>
    <row r="533" spans="1:4" x14ac:dyDescent="0.2">
      <c r="A533" s="36" t="s">
        <v>1841</v>
      </c>
      <c r="B533" s="125" t="s">
        <v>1043</v>
      </c>
      <c r="C533" s="143" t="s">
        <v>1965</v>
      </c>
      <c r="D533" s="95">
        <v>349.11128082464666</v>
      </c>
    </row>
    <row r="534" spans="1:4" ht="47.25" x14ac:dyDescent="0.2">
      <c r="A534" s="36" t="s">
        <v>1842</v>
      </c>
      <c r="B534" s="125" t="s">
        <v>1044</v>
      </c>
      <c r="C534" s="143" t="s">
        <v>1988</v>
      </c>
      <c r="D534" s="95">
        <v>2707.0653950705923</v>
      </c>
    </row>
    <row r="535" spans="1:4" ht="47.25" x14ac:dyDescent="0.2">
      <c r="A535" s="36" t="s">
        <v>1843</v>
      </c>
      <c r="B535" s="125" t="s">
        <v>1045</v>
      </c>
      <c r="C535" s="143" t="s">
        <v>1989</v>
      </c>
      <c r="D535" s="95">
        <v>1660.6895721422734</v>
      </c>
    </row>
    <row r="536" spans="1:4" ht="31.5" x14ac:dyDescent="0.2">
      <c r="A536" s="36" t="s">
        <v>1844</v>
      </c>
      <c r="B536" s="125" t="s">
        <v>1046</v>
      </c>
      <c r="C536" s="143" t="s">
        <v>1966</v>
      </c>
      <c r="D536" s="95">
        <v>1463.1856610711366</v>
      </c>
    </row>
    <row r="537" spans="1:4" ht="31.5" x14ac:dyDescent="0.2">
      <c r="A537" s="36" t="s">
        <v>1845</v>
      </c>
      <c r="B537" s="125" t="s">
        <v>1047</v>
      </c>
      <c r="C537" s="143" t="s">
        <v>1967</v>
      </c>
      <c r="D537" s="95">
        <v>1089.6928879261438</v>
      </c>
    </row>
    <row r="538" spans="1:4" x14ac:dyDescent="0.2">
      <c r="A538" s="36" t="s">
        <v>1846</v>
      </c>
      <c r="B538" s="125" t="s">
        <v>26</v>
      </c>
      <c r="C538" s="143" t="s">
        <v>1968</v>
      </c>
      <c r="D538" s="95">
        <v>130.46713221422735</v>
      </c>
    </row>
    <row r="539" spans="1:4" x14ac:dyDescent="0.2">
      <c r="A539" s="36" t="s">
        <v>1847</v>
      </c>
      <c r="B539" s="125" t="s">
        <v>1048</v>
      </c>
      <c r="C539" s="143" t="s">
        <v>1969</v>
      </c>
      <c r="D539" s="95">
        <v>348.66986027360809</v>
      </c>
    </row>
    <row r="540" spans="1:4" ht="31.5" x14ac:dyDescent="0.2">
      <c r="A540" s="36" t="s">
        <v>1848</v>
      </c>
      <c r="B540" s="125" t="s">
        <v>1049</v>
      </c>
      <c r="C540" s="143" t="s">
        <v>1970</v>
      </c>
      <c r="D540" s="95">
        <v>1020.4158804775494</v>
      </c>
    </row>
    <row r="541" spans="1:4" ht="31.5" x14ac:dyDescent="0.2">
      <c r="A541" s="36" t="s">
        <v>1849</v>
      </c>
      <c r="B541" s="125" t="s">
        <v>1050</v>
      </c>
      <c r="C541" s="143" t="s">
        <v>1971</v>
      </c>
      <c r="D541" s="95">
        <v>345.47704955188965</v>
      </c>
    </row>
    <row r="542" spans="1:4" ht="31.5" x14ac:dyDescent="0.2">
      <c r="A542" s="36" t="s">
        <v>1850</v>
      </c>
      <c r="B542" s="125" t="s">
        <v>1051</v>
      </c>
      <c r="C542" s="143" t="s">
        <v>1972</v>
      </c>
      <c r="D542" s="95">
        <v>536.40605162938959</v>
      </c>
    </row>
    <row r="543" spans="1:4" x14ac:dyDescent="0.2">
      <c r="A543" s="36" t="s">
        <v>1851</v>
      </c>
      <c r="B543" s="125" t="s">
        <v>1052</v>
      </c>
      <c r="C543" s="155" t="s">
        <v>1973</v>
      </c>
      <c r="D543" s="95">
        <v>398.84110121412556</v>
      </c>
    </row>
    <row r="544" spans="1:4" x14ac:dyDescent="0.2">
      <c r="A544" s="36" t="s">
        <v>1852</v>
      </c>
      <c r="B544" s="123" t="s">
        <v>1483</v>
      </c>
      <c r="C544" s="164" t="s">
        <v>1974</v>
      </c>
      <c r="D544" s="95">
        <v>305.67330849986377</v>
      </c>
    </row>
    <row r="545" spans="1:6" s="6" customFormat="1" x14ac:dyDescent="0.2">
      <c r="A545" s="35"/>
      <c r="B545" s="171" t="s">
        <v>1526</v>
      </c>
      <c r="C545" s="136"/>
      <c r="D545" s="95"/>
      <c r="E545" s="48"/>
      <c r="F545" s="16"/>
    </row>
    <row r="546" spans="1:6" ht="37.5" customHeight="1" x14ac:dyDescent="0.2">
      <c r="A546" s="195" t="s">
        <v>1853</v>
      </c>
      <c r="B546" s="127" t="s">
        <v>1527</v>
      </c>
      <c r="C546" s="159" t="s">
        <v>1528</v>
      </c>
      <c r="D546" s="95">
        <v>271.30838495186242</v>
      </c>
    </row>
    <row r="547" spans="1:6" ht="36" customHeight="1" x14ac:dyDescent="0.2">
      <c r="A547" s="195" t="s">
        <v>1854</v>
      </c>
      <c r="B547" s="127" t="s">
        <v>1529</v>
      </c>
      <c r="C547" s="159" t="s">
        <v>1530</v>
      </c>
      <c r="D547" s="95">
        <v>271.30838495186242</v>
      </c>
    </row>
    <row r="548" spans="1:6" ht="40.5" customHeight="1" x14ac:dyDescent="0.2">
      <c r="A548" s="195" t="s">
        <v>1855</v>
      </c>
      <c r="B548" s="127" t="s">
        <v>1531</v>
      </c>
      <c r="C548" s="159" t="s">
        <v>1532</v>
      </c>
      <c r="D548" s="95">
        <v>271.30838495186242</v>
      </c>
    </row>
    <row r="549" spans="1:6" ht="49.5" customHeight="1" x14ac:dyDescent="0.2">
      <c r="A549" s="195" t="s">
        <v>1856</v>
      </c>
      <c r="B549" s="127" t="s">
        <v>1533</v>
      </c>
      <c r="C549" s="159" t="s">
        <v>1534</v>
      </c>
      <c r="D549" s="95">
        <v>271.30837288748455</v>
      </c>
    </row>
    <row r="550" spans="1:6" x14ac:dyDescent="0.2">
      <c r="B550" s="23"/>
      <c r="C550" s="140"/>
      <c r="D550" s="44"/>
    </row>
    <row r="552" spans="1:6" s="3" customFormat="1" ht="15" x14ac:dyDescent="0.2">
      <c r="A552" s="197" t="s">
        <v>721</v>
      </c>
      <c r="B552" s="198"/>
      <c r="C552" s="198"/>
      <c r="D552" s="198"/>
      <c r="E552" s="50"/>
      <c r="F552" s="17"/>
    </row>
    <row r="553" spans="1:6" s="3" customFormat="1" x14ac:dyDescent="0.25">
      <c r="A553" s="40"/>
      <c r="B553" s="13"/>
      <c r="C553" s="141"/>
      <c r="D553" s="45"/>
      <c r="E553" s="50"/>
      <c r="F553" s="17"/>
    </row>
  </sheetData>
  <mergeCells count="8">
    <mergeCell ref="A552:D552"/>
    <mergeCell ref="D6:D7"/>
    <mergeCell ref="A6:A7"/>
    <mergeCell ref="B1:D1"/>
    <mergeCell ref="A5:D5"/>
    <mergeCell ref="B4:D4"/>
    <mergeCell ref="B6:B7"/>
    <mergeCell ref="C6:C7"/>
  </mergeCells>
  <phoneticPr fontId="0" type="noConversion"/>
  <hyperlinks>
    <hyperlink ref="B155" r:id="rId1" location="/document/3100000/entry/0" display="http://ivo.garant.ru/ - /document/3100000/entry/0"/>
  </hyperlinks>
  <pageMargins left="0.7" right="0.7" top="0.75" bottom="0.75" header="0.3" footer="0.3"/>
  <pageSetup scale="76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50"/>
  <sheetViews>
    <sheetView view="pageBreakPreview" topLeftCell="A150" zoomScale="80" zoomScaleNormal="85" zoomScaleSheetLayoutView="80" workbookViewId="0">
      <selection activeCell="Y1" sqref="Y1:Y65536"/>
    </sheetView>
  </sheetViews>
  <sheetFormatPr defaultRowHeight="15" customHeight="1" x14ac:dyDescent="0.25"/>
  <cols>
    <col min="1" max="1" width="7" style="37" customWidth="1"/>
    <col min="2" max="2" width="117.140625" style="10" bestFit="1" customWidth="1"/>
    <col min="3" max="4" width="12.42578125" style="11" customWidth="1"/>
    <col min="5" max="5" width="21" style="11" customWidth="1"/>
    <col min="6" max="6" width="18.140625" style="12" customWidth="1"/>
    <col min="7" max="7" width="12.42578125" style="16" customWidth="1"/>
    <col min="8" max="8" width="12.42578125" style="11" customWidth="1"/>
    <col min="9" max="9" width="15.28515625" style="11" customWidth="1"/>
    <col min="10" max="10" width="18.140625" style="12" customWidth="1"/>
    <col min="11" max="11" width="12.7109375" style="11" customWidth="1"/>
    <col min="12" max="12" width="26.7109375" style="11" customWidth="1"/>
    <col min="13" max="13" width="15.28515625" style="11" customWidth="1"/>
    <col min="14" max="14" width="15.28515625" style="90" customWidth="1"/>
    <col min="15" max="16" width="29.7109375" style="90" customWidth="1"/>
    <col min="17" max="17" width="26.85546875" style="12" customWidth="1"/>
    <col min="18" max="18" width="15.42578125" style="58" customWidth="1"/>
    <col min="19" max="19" width="21.140625" style="54" customWidth="1"/>
    <col min="20" max="20" width="15.42578125" style="91" customWidth="1"/>
    <col min="21" max="21" width="12.5703125" style="12" customWidth="1"/>
    <col min="22" max="22" width="15.42578125" style="90" customWidth="1"/>
    <col min="23" max="23" width="22.140625" style="46" bestFit="1" customWidth="1"/>
    <col min="24" max="24" width="19.42578125" style="4" customWidth="1"/>
    <col min="25" max="25" width="9.140625" style="4" customWidth="1"/>
    <col min="26" max="26" width="6.5703125" style="4" customWidth="1"/>
    <col min="27" max="27" width="10.140625" style="5" customWidth="1"/>
    <col min="28" max="28" width="12.140625" style="47" customWidth="1"/>
    <col min="29" max="29" width="8.7109375" style="16" customWidth="1"/>
    <col min="30" max="30" width="16.42578125" style="5" customWidth="1"/>
    <col min="31" max="34" width="9.140625" style="5" customWidth="1"/>
    <col min="35" max="16384" width="9.140625" style="5"/>
  </cols>
  <sheetData>
    <row r="1" spans="1:29" ht="15" customHeight="1" x14ac:dyDescent="0.2">
      <c r="B1" s="203" t="s">
        <v>883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9" ht="15" customHeight="1" x14ac:dyDescent="0.2">
      <c r="B2" s="15"/>
      <c r="C2" s="15" t="s">
        <v>779</v>
      </c>
      <c r="D2" s="15"/>
      <c r="E2" s="15"/>
      <c r="F2" s="15"/>
      <c r="G2" s="20"/>
      <c r="H2" s="15"/>
      <c r="I2" s="15"/>
      <c r="J2" s="15"/>
      <c r="K2" s="15"/>
      <c r="L2" s="15"/>
      <c r="M2" s="15"/>
      <c r="N2" s="86"/>
      <c r="O2" s="86"/>
      <c r="P2" s="86"/>
      <c r="Q2" s="15"/>
      <c r="R2" s="53"/>
      <c r="U2" s="15"/>
      <c r="V2" s="86"/>
      <c r="W2" s="41"/>
    </row>
    <row r="3" spans="1:29" ht="15" customHeight="1" x14ac:dyDescent="0.2">
      <c r="B3" s="132" t="s">
        <v>288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</row>
    <row r="4" spans="1:29" ht="15" customHeight="1" x14ac:dyDescent="0.2">
      <c r="B4" s="217" t="s">
        <v>881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29" ht="15" customHeight="1" x14ac:dyDescent="0.2">
      <c r="A5" s="201" t="s">
        <v>368</v>
      </c>
      <c r="B5" s="206" t="s">
        <v>48</v>
      </c>
      <c r="C5" s="133" t="s">
        <v>52</v>
      </c>
      <c r="D5" s="134"/>
      <c r="E5" s="134"/>
      <c r="F5" s="135"/>
      <c r="G5" s="218" t="s">
        <v>49</v>
      </c>
      <c r="H5" s="219"/>
      <c r="I5" s="219"/>
      <c r="J5" s="220"/>
      <c r="K5" s="218" t="s">
        <v>289</v>
      </c>
      <c r="L5" s="219"/>
      <c r="M5" s="219"/>
      <c r="N5" s="220"/>
      <c r="O5" s="215" t="s">
        <v>62</v>
      </c>
      <c r="P5" s="215" t="s">
        <v>292</v>
      </c>
      <c r="Q5" s="213" t="s">
        <v>346</v>
      </c>
      <c r="R5" s="209" t="s">
        <v>63</v>
      </c>
      <c r="S5" s="211" t="s">
        <v>722</v>
      </c>
      <c r="T5" s="212" t="s">
        <v>63</v>
      </c>
      <c r="U5" s="213" t="s">
        <v>64</v>
      </c>
      <c r="V5" s="215" t="s">
        <v>55</v>
      </c>
      <c r="W5" s="199" t="s">
        <v>65</v>
      </c>
    </row>
    <row r="6" spans="1:29" s="6" customFormat="1" ht="15" customHeight="1" x14ac:dyDescent="0.2">
      <c r="A6" s="202"/>
      <c r="B6" s="207"/>
      <c r="C6" s="31" t="s">
        <v>60</v>
      </c>
      <c r="D6" s="31" t="s">
        <v>50</v>
      </c>
      <c r="E6" s="31" t="s">
        <v>58</v>
      </c>
      <c r="F6" s="26" t="s">
        <v>61</v>
      </c>
      <c r="G6" s="32" t="s">
        <v>60</v>
      </c>
      <c r="H6" s="31" t="s">
        <v>50</v>
      </c>
      <c r="I6" s="31" t="s">
        <v>59</v>
      </c>
      <c r="J6" s="26" t="s">
        <v>61</v>
      </c>
      <c r="K6" s="31" t="s">
        <v>290</v>
      </c>
      <c r="L6" s="31" t="s">
        <v>293</v>
      </c>
      <c r="M6" s="31" t="s">
        <v>59</v>
      </c>
      <c r="N6" s="120" t="s">
        <v>291</v>
      </c>
      <c r="O6" s="216"/>
      <c r="P6" s="216"/>
      <c r="Q6" s="214"/>
      <c r="R6" s="210"/>
      <c r="S6" s="211"/>
      <c r="T6" s="212"/>
      <c r="U6" s="214"/>
      <c r="V6" s="216"/>
      <c r="W6" s="200"/>
      <c r="X6" s="19" t="s">
        <v>882</v>
      </c>
      <c r="Y6" s="4" t="s">
        <v>287</v>
      </c>
      <c r="Z6" s="4"/>
      <c r="AB6" s="48"/>
      <c r="AC6" s="52"/>
    </row>
    <row r="7" spans="1:29" ht="15" customHeight="1" x14ac:dyDescent="0.2">
      <c r="A7" s="36" t="s">
        <v>369</v>
      </c>
      <c r="B7" s="27" t="s">
        <v>0</v>
      </c>
      <c r="C7" s="21">
        <v>942048</v>
      </c>
      <c r="D7" s="21">
        <v>1650</v>
      </c>
      <c r="E7" s="21">
        <v>20</v>
      </c>
      <c r="F7" s="9">
        <f t="shared" ref="F7:F24" si="0">C7/D7/60*E7</f>
        <v>190.31272727272727</v>
      </c>
      <c r="G7" s="33">
        <v>471732</v>
      </c>
      <c r="H7" s="21">
        <v>1925</v>
      </c>
      <c r="I7" s="21">
        <v>15</v>
      </c>
      <c r="J7" s="9">
        <f t="shared" ref="J7:J22" si="1">G7/H7/60*I7</f>
        <v>61.263896103896101</v>
      </c>
      <c r="K7" s="21">
        <v>5130</v>
      </c>
      <c r="L7" s="21">
        <v>846720</v>
      </c>
      <c r="M7" s="21">
        <v>2</v>
      </c>
      <c r="N7" s="79">
        <f t="shared" ref="N7:N18" si="2">K7/L7*M7</f>
        <v>1.211734693877551E-2</v>
      </c>
      <c r="O7" s="79">
        <f t="shared" ref="O7:O24" si="3">F7+J7+N7</f>
        <v>251.58874072356215</v>
      </c>
      <c r="P7" s="79">
        <f>O7*0.302</f>
        <v>75.979799698515762</v>
      </c>
      <c r="Q7" s="67">
        <f>(O7)*102%</f>
        <v>256.62051553803337</v>
      </c>
      <c r="R7" s="55">
        <f>17.02+1.54*2</f>
        <v>20.100000000000001</v>
      </c>
      <c r="S7" s="55">
        <v>20.100000000000001</v>
      </c>
      <c r="T7" s="78">
        <f>S7*1</f>
        <v>20.100000000000001</v>
      </c>
      <c r="U7" s="9">
        <f>N7+O7+P7+Q7+T7</f>
        <v>604.30117330705014</v>
      </c>
      <c r="V7" s="79">
        <f>U7*25%</f>
        <v>151.07529332676253</v>
      </c>
      <c r="W7" s="42">
        <v>755</v>
      </c>
      <c r="X7" s="71">
        <v>682.71083364679964</v>
      </c>
      <c r="Y7" s="60">
        <f t="shared" ref="Y7:Y70" si="4">W7/X7</f>
        <v>1.1058854829753575</v>
      </c>
      <c r="Z7" s="60">
        <f>Y7-100%</f>
        <v>0.10588548297535749</v>
      </c>
      <c r="AA7" s="14"/>
    </row>
    <row r="8" spans="1:29" ht="15" customHeight="1" x14ac:dyDescent="0.2">
      <c r="A8" s="38" t="s">
        <v>845</v>
      </c>
      <c r="B8" s="27" t="s">
        <v>1</v>
      </c>
      <c r="C8" s="21">
        <v>942048</v>
      </c>
      <c r="D8" s="7">
        <v>1650</v>
      </c>
      <c r="E8" s="7">
        <v>20</v>
      </c>
      <c r="F8" s="8">
        <f t="shared" si="0"/>
        <v>190.31272727272727</v>
      </c>
      <c r="G8" s="33">
        <v>471732</v>
      </c>
      <c r="H8" s="7">
        <v>1925</v>
      </c>
      <c r="I8" s="7">
        <v>15</v>
      </c>
      <c r="J8" s="8">
        <f t="shared" si="1"/>
        <v>61.263896103896101</v>
      </c>
      <c r="K8" s="7">
        <v>0</v>
      </c>
      <c r="L8" s="7">
        <v>1</v>
      </c>
      <c r="M8" s="7">
        <v>0</v>
      </c>
      <c r="N8" s="75">
        <f t="shared" si="2"/>
        <v>0</v>
      </c>
      <c r="O8" s="75">
        <f t="shared" si="3"/>
        <v>251.57662337662339</v>
      </c>
      <c r="P8" s="75">
        <f t="shared" ref="P8:P24" si="5">O8*0.302</f>
        <v>75.976140259740262</v>
      </c>
      <c r="Q8" s="68">
        <f t="shared" ref="Q8:Q24" si="6">(O8)*102%</f>
        <v>256.60815584415587</v>
      </c>
      <c r="R8" s="55">
        <f>9.95+17.02+3.16</f>
        <v>30.13</v>
      </c>
      <c r="S8" s="55">
        <v>30.13</v>
      </c>
      <c r="T8" s="78">
        <f t="shared" ref="T8:T67" si="7">S8*1</f>
        <v>30.13</v>
      </c>
      <c r="U8" s="9">
        <f t="shared" ref="U8:U67" si="8">N8+O8+P8+Q8+T8</f>
        <v>614.29091948051951</v>
      </c>
      <c r="V8" s="75">
        <f t="shared" ref="V8:V65" si="9">U8*25%</f>
        <v>153.57272987012988</v>
      </c>
      <c r="W8" s="42">
        <v>768</v>
      </c>
      <c r="X8" s="71">
        <v>663.88680129870136</v>
      </c>
      <c r="Y8" s="60">
        <f t="shared" si="4"/>
        <v>1.156823721299522</v>
      </c>
      <c r="Z8" s="60">
        <f t="shared" ref="Z8:Z67" si="10">Y8-100%</f>
        <v>0.15682372129952205</v>
      </c>
      <c r="AA8" s="14"/>
    </row>
    <row r="9" spans="1:29" ht="15" customHeight="1" x14ac:dyDescent="0.2">
      <c r="A9" s="38" t="s">
        <v>370</v>
      </c>
      <c r="B9" s="27" t="s">
        <v>46</v>
      </c>
      <c r="C9" s="21">
        <v>942048</v>
      </c>
      <c r="D9" s="7">
        <v>1650</v>
      </c>
      <c r="E9" s="7">
        <v>20</v>
      </c>
      <c r="F9" s="8">
        <f t="shared" si="0"/>
        <v>190.31272727272727</v>
      </c>
      <c r="G9" s="33">
        <v>471732</v>
      </c>
      <c r="H9" s="7">
        <v>1925</v>
      </c>
      <c r="I9" s="7">
        <v>20</v>
      </c>
      <c r="J9" s="8">
        <f t="shared" si="1"/>
        <v>81.685194805194797</v>
      </c>
      <c r="K9" s="7">
        <v>38581.800000000003</v>
      </c>
      <c r="L9" s="7">
        <v>846720</v>
      </c>
      <c r="M9" s="7">
        <v>5</v>
      </c>
      <c r="N9" s="75">
        <f t="shared" si="2"/>
        <v>0.22783092403628119</v>
      </c>
      <c r="O9" s="75">
        <f t="shared" si="3"/>
        <v>272.22575300195831</v>
      </c>
      <c r="P9" s="75">
        <f>O9*0.302</f>
        <v>82.212177406591408</v>
      </c>
      <c r="Q9" s="68">
        <f t="shared" si="6"/>
        <v>277.67026806199749</v>
      </c>
      <c r="R9" s="55">
        <f>17.02+1.8</f>
        <v>18.82</v>
      </c>
      <c r="S9" s="55">
        <v>18.82</v>
      </c>
      <c r="T9" s="78">
        <f t="shared" si="7"/>
        <v>18.82</v>
      </c>
      <c r="U9" s="9">
        <f t="shared" si="8"/>
        <v>651.15602939458347</v>
      </c>
      <c r="V9" s="75">
        <f>U9*25%</f>
        <v>162.78900734864587</v>
      </c>
      <c r="W9" s="42">
        <v>814</v>
      </c>
      <c r="X9" s="71">
        <v>807.25144453543737</v>
      </c>
      <c r="Y9" s="60">
        <f t="shared" si="4"/>
        <v>1.0083599174832649</v>
      </c>
      <c r="Z9" s="60">
        <f t="shared" si="10"/>
        <v>8.3599174832649226E-3</v>
      </c>
      <c r="AA9" s="14"/>
    </row>
    <row r="10" spans="1:29" ht="15" customHeight="1" x14ac:dyDescent="0.2">
      <c r="A10" s="38" t="s">
        <v>846</v>
      </c>
      <c r="B10" s="27" t="s">
        <v>45</v>
      </c>
      <c r="C10" s="21">
        <v>942048</v>
      </c>
      <c r="D10" s="7">
        <v>1650</v>
      </c>
      <c r="E10" s="7">
        <v>20</v>
      </c>
      <c r="F10" s="8">
        <f t="shared" si="0"/>
        <v>190.31272727272727</v>
      </c>
      <c r="G10" s="33">
        <v>471732</v>
      </c>
      <c r="H10" s="7">
        <v>1925</v>
      </c>
      <c r="I10" s="7">
        <v>15</v>
      </c>
      <c r="J10" s="8">
        <f t="shared" si="1"/>
        <v>61.263896103896101</v>
      </c>
      <c r="K10" s="7">
        <v>5130</v>
      </c>
      <c r="L10" s="7">
        <v>846720</v>
      </c>
      <c r="M10" s="7">
        <v>10</v>
      </c>
      <c r="N10" s="75">
        <f t="shared" si="2"/>
        <v>6.0586734693877549E-2</v>
      </c>
      <c r="O10" s="75">
        <f t="shared" si="3"/>
        <v>251.63721011131727</v>
      </c>
      <c r="P10" s="75">
        <f t="shared" si="5"/>
        <v>75.99443745361782</v>
      </c>
      <c r="Q10" s="68">
        <f t="shared" si="6"/>
        <v>256.6699543135436</v>
      </c>
      <c r="R10" s="55">
        <f>17.02+9.95</f>
        <v>26.97</v>
      </c>
      <c r="S10" s="55">
        <v>26.97</v>
      </c>
      <c r="T10" s="78">
        <f t="shared" si="7"/>
        <v>26.97</v>
      </c>
      <c r="U10" s="9">
        <f t="shared" si="8"/>
        <v>611.33218861317255</v>
      </c>
      <c r="V10" s="75">
        <f t="shared" si="9"/>
        <v>152.83304715329314</v>
      </c>
      <c r="W10" s="42">
        <v>764</v>
      </c>
      <c r="X10" s="71">
        <v>712.42997005218001</v>
      </c>
      <c r="Y10" s="60">
        <f t="shared" si="4"/>
        <v>1.0723861040602249</v>
      </c>
      <c r="Z10" s="60">
        <f t="shared" si="10"/>
        <v>7.2386104060224943E-2</v>
      </c>
      <c r="AA10" s="14"/>
    </row>
    <row r="11" spans="1:29" ht="15" customHeight="1" x14ac:dyDescent="0.2">
      <c r="A11" s="38" t="s">
        <v>371</v>
      </c>
      <c r="B11" s="27" t="s">
        <v>2</v>
      </c>
      <c r="C11" s="21">
        <v>942048</v>
      </c>
      <c r="D11" s="7">
        <v>1650</v>
      </c>
      <c r="E11" s="7">
        <v>20</v>
      </c>
      <c r="F11" s="8">
        <f t="shared" si="0"/>
        <v>190.31272727272727</v>
      </c>
      <c r="G11" s="33">
        <v>471732</v>
      </c>
      <c r="H11" s="7">
        <v>1925</v>
      </c>
      <c r="I11" s="7">
        <v>15</v>
      </c>
      <c r="J11" s="8">
        <f t="shared" si="1"/>
        <v>61.263896103896101</v>
      </c>
      <c r="K11" s="7">
        <v>18480</v>
      </c>
      <c r="L11" s="7">
        <v>846720</v>
      </c>
      <c r="M11" s="7">
        <v>5</v>
      </c>
      <c r="N11" s="75">
        <f t="shared" si="2"/>
        <v>0.10912698412698413</v>
      </c>
      <c r="O11" s="75">
        <f t="shared" si="3"/>
        <v>251.68575036075038</v>
      </c>
      <c r="P11" s="75">
        <f t="shared" si="5"/>
        <v>76.009096608946606</v>
      </c>
      <c r="Q11" s="68">
        <f t="shared" si="6"/>
        <v>256.71946536796537</v>
      </c>
      <c r="R11" s="55">
        <f>17.02</f>
        <v>17.02</v>
      </c>
      <c r="S11" s="55">
        <v>17.02</v>
      </c>
      <c r="T11" s="78">
        <f t="shared" si="7"/>
        <v>17.02</v>
      </c>
      <c r="U11" s="9">
        <f t="shared" si="8"/>
        <v>601.54343932178926</v>
      </c>
      <c r="V11" s="75">
        <f t="shared" si="9"/>
        <v>150.38585983044732</v>
      </c>
      <c r="W11" s="42">
        <v>752</v>
      </c>
      <c r="X11" s="71">
        <v>679.26366616522364</v>
      </c>
      <c r="Y11" s="60">
        <f t="shared" si="4"/>
        <v>1.1070811489821155</v>
      </c>
      <c r="Z11" s="60">
        <f t="shared" si="10"/>
        <v>0.10708114898211551</v>
      </c>
      <c r="AA11" s="14"/>
    </row>
    <row r="12" spans="1:29" ht="15" customHeight="1" x14ac:dyDescent="0.2">
      <c r="A12" s="38" t="s">
        <v>847</v>
      </c>
      <c r="B12" s="27" t="s">
        <v>4</v>
      </c>
      <c r="C12" s="21">
        <v>942048</v>
      </c>
      <c r="D12" s="7">
        <v>1650</v>
      </c>
      <c r="E12" s="7">
        <v>20</v>
      </c>
      <c r="F12" s="8">
        <f t="shared" si="0"/>
        <v>190.31272727272727</v>
      </c>
      <c r="G12" s="33">
        <v>471732</v>
      </c>
      <c r="H12" s="7">
        <v>1925</v>
      </c>
      <c r="I12" s="7">
        <v>15</v>
      </c>
      <c r="J12" s="8">
        <f t="shared" si="1"/>
        <v>61.263896103896101</v>
      </c>
      <c r="K12" s="7">
        <v>50941.8</v>
      </c>
      <c r="L12" s="7">
        <v>846720</v>
      </c>
      <c r="M12" s="7">
        <v>16</v>
      </c>
      <c r="N12" s="75">
        <f t="shared" si="2"/>
        <v>0.96261904761904771</v>
      </c>
      <c r="O12" s="75">
        <f t="shared" si="3"/>
        <v>252.53924242424245</v>
      </c>
      <c r="P12" s="75">
        <f t="shared" si="5"/>
        <v>76.26685121212121</v>
      </c>
      <c r="Q12" s="68">
        <f t="shared" si="6"/>
        <v>257.5900272727273</v>
      </c>
      <c r="R12" s="55">
        <f>17.02+1.8</f>
        <v>18.82</v>
      </c>
      <c r="S12" s="55">
        <v>18.82</v>
      </c>
      <c r="T12" s="78">
        <f t="shared" si="7"/>
        <v>18.82</v>
      </c>
      <c r="U12" s="9">
        <f t="shared" si="8"/>
        <v>606.17873995671005</v>
      </c>
      <c r="V12" s="75">
        <f t="shared" si="9"/>
        <v>151.54468498917751</v>
      </c>
      <c r="W12" s="42">
        <v>758</v>
      </c>
      <c r="X12" s="71">
        <v>685.05779195887453</v>
      </c>
      <c r="Y12" s="60">
        <f t="shared" si="4"/>
        <v>1.1064759920948455</v>
      </c>
      <c r="Z12" s="60">
        <f t="shared" si="10"/>
        <v>0.10647599209484548</v>
      </c>
      <c r="AA12" s="14"/>
    </row>
    <row r="13" spans="1:29" ht="15" customHeight="1" x14ac:dyDescent="0.2">
      <c r="A13" s="38" t="s">
        <v>372</v>
      </c>
      <c r="B13" s="27" t="s">
        <v>89</v>
      </c>
      <c r="C13" s="21">
        <v>942048</v>
      </c>
      <c r="D13" s="7">
        <v>1650</v>
      </c>
      <c r="E13" s="7">
        <v>19</v>
      </c>
      <c r="F13" s="8">
        <f t="shared" si="0"/>
        <v>180.79709090909091</v>
      </c>
      <c r="G13" s="33">
        <v>471732</v>
      </c>
      <c r="H13" s="7">
        <v>1925</v>
      </c>
      <c r="I13" s="7">
        <v>13</v>
      </c>
      <c r="J13" s="8">
        <f t="shared" si="1"/>
        <v>53.095376623376623</v>
      </c>
      <c r="K13" s="7">
        <v>0</v>
      </c>
      <c r="L13" s="7">
        <v>1</v>
      </c>
      <c r="M13" s="7">
        <v>0</v>
      </c>
      <c r="N13" s="75">
        <f t="shared" si="2"/>
        <v>0</v>
      </c>
      <c r="O13" s="75">
        <f t="shared" si="3"/>
        <v>233.89246753246755</v>
      </c>
      <c r="P13" s="75">
        <f t="shared" si="5"/>
        <v>70.635525194805197</v>
      </c>
      <c r="Q13" s="68">
        <f t="shared" si="6"/>
        <v>238.5703168831169</v>
      </c>
      <c r="R13" s="55">
        <f>30+31+17.02</f>
        <v>78.02</v>
      </c>
      <c r="S13" s="55">
        <v>78.02</v>
      </c>
      <c r="T13" s="78">
        <f t="shared" si="7"/>
        <v>78.02</v>
      </c>
      <c r="U13" s="9">
        <f t="shared" si="8"/>
        <v>621.11830961038959</v>
      </c>
      <c r="V13" s="75">
        <f t="shared" si="9"/>
        <v>155.2795774025974</v>
      </c>
      <c r="W13" s="42">
        <v>776</v>
      </c>
      <c r="X13" s="71">
        <v>682.05723844155852</v>
      </c>
      <c r="Y13" s="60">
        <f t="shared" si="4"/>
        <v>1.1377344250067525</v>
      </c>
      <c r="Z13" s="60">
        <f>Y13-100%</f>
        <v>0.13773442500675248</v>
      </c>
      <c r="AA13" s="14"/>
    </row>
    <row r="14" spans="1:29" ht="15" customHeight="1" x14ac:dyDescent="0.2">
      <c r="A14" s="38" t="s">
        <v>848</v>
      </c>
      <c r="B14" s="27" t="s">
        <v>88</v>
      </c>
      <c r="C14" s="21">
        <v>942048</v>
      </c>
      <c r="D14" s="7">
        <v>1650</v>
      </c>
      <c r="E14" s="7">
        <v>18</v>
      </c>
      <c r="F14" s="8">
        <f t="shared" si="0"/>
        <v>171.28145454545455</v>
      </c>
      <c r="G14" s="33">
        <v>471732</v>
      </c>
      <c r="H14" s="7">
        <v>1925</v>
      </c>
      <c r="I14" s="7">
        <v>13</v>
      </c>
      <c r="J14" s="8">
        <f t="shared" si="1"/>
        <v>53.095376623376623</v>
      </c>
      <c r="K14" s="7">
        <v>0</v>
      </c>
      <c r="L14" s="7">
        <v>1</v>
      </c>
      <c r="M14" s="7">
        <v>0</v>
      </c>
      <c r="N14" s="75">
        <f t="shared" si="2"/>
        <v>0</v>
      </c>
      <c r="O14" s="75">
        <f t="shared" si="3"/>
        <v>224.37683116883119</v>
      </c>
      <c r="P14" s="75">
        <f t="shared" si="5"/>
        <v>67.761803012987016</v>
      </c>
      <c r="Q14" s="68">
        <f t="shared" si="6"/>
        <v>228.86436779220782</v>
      </c>
      <c r="R14" s="55">
        <f>17.02+15.12</f>
        <v>32.14</v>
      </c>
      <c r="S14" s="55">
        <v>32.14</v>
      </c>
      <c r="T14" s="78">
        <f t="shared" si="7"/>
        <v>32.14</v>
      </c>
      <c r="U14" s="9">
        <f t="shared" si="8"/>
        <v>553.14300197402599</v>
      </c>
      <c r="V14" s="75">
        <f t="shared" si="9"/>
        <v>138.2857504935065</v>
      </c>
      <c r="W14" s="42">
        <v>691</v>
      </c>
      <c r="X14" s="71">
        <v>603.77687116883112</v>
      </c>
      <c r="Y14" s="60">
        <f t="shared" si="4"/>
        <v>1.1444625208354149</v>
      </c>
      <c r="Z14" s="60">
        <f t="shared" si="10"/>
        <v>0.14446252083541489</v>
      </c>
      <c r="AA14" s="14"/>
    </row>
    <row r="15" spans="1:29" ht="15" customHeight="1" x14ac:dyDescent="0.2">
      <c r="A15" s="38" t="s">
        <v>373</v>
      </c>
      <c r="B15" s="27" t="s">
        <v>13</v>
      </c>
      <c r="C15" s="21">
        <v>942048</v>
      </c>
      <c r="D15" s="7">
        <v>1650</v>
      </c>
      <c r="E15" s="7">
        <v>18</v>
      </c>
      <c r="F15" s="8">
        <f t="shared" si="0"/>
        <v>171.28145454545455</v>
      </c>
      <c r="G15" s="33">
        <v>471732</v>
      </c>
      <c r="H15" s="7">
        <v>1925</v>
      </c>
      <c r="I15" s="7">
        <v>13</v>
      </c>
      <c r="J15" s="8">
        <f t="shared" si="1"/>
        <v>53.095376623376623</v>
      </c>
      <c r="K15" s="7">
        <v>35000</v>
      </c>
      <c r="L15" s="7">
        <v>846720</v>
      </c>
      <c r="M15" s="7">
        <v>20</v>
      </c>
      <c r="N15" s="75">
        <f t="shared" si="2"/>
        <v>0.82671957671957674</v>
      </c>
      <c r="O15" s="75">
        <f t="shared" si="3"/>
        <v>225.20355074555076</v>
      </c>
      <c r="P15" s="75">
        <f t="shared" si="5"/>
        <v>68.011472325156333</v>
      </c>
      <c r="Q15" s="68">
        <f t="shared" si="6"/>
        <v>229.70762176046176</v>
      </c>
      <c r="R15" s="55">
        <f>21+17.02</f>
        <v>38.019999999999996</v>
      </c>
      <c r="S15" s="55">
        <v>38.019999999999996</v>
      </c>
      <c r="T15" s="78">
        <f t="shared" si="7"/>
        <v>38.019999999999996</v>
      </c>
      <c r="U15" s="9">
        <f t="shared" si="8"/>
        <v>561.76936440788836</v>
      </c>
      <c r="V15" s="75">
        <f t="shared" si="9"/>
        <v>140.44234110197209</v>
      </c>
      <c r="W15" s="42">
        <v>702</v>
      </c>
      <c r="X15" s="71">
        <v>614.55982421115914</v>
      </c>
      <c r="Y15" s="60">
        <f t="shared" si="4"/>
        <v>1.1422809828173814</v>
      </c>
      <c r="Z15" s="60">
        <f t="shared" si="10"/>
        <v>0.14228098281738144</v>
      </c>
      <c r="AA15" s="14"/>
    </row>
    <row r="16" spans="1:29" ht="15" customHeight="1" x14ac:dyDescent="0.2">
      <c r="A16" s="38" t="s">
        <v>849</v>
      </c>
      <c r="B16" s="27" t="s">
        <v>234</v>
      </c>
      <c r="C16" s="21">
        <v>942048</v>
      </c>
      <c r="D16" s="7">
        <v>1650</v>
      </c>
      <c r="E16" s="7">
        <v>18</v>
      </c>
      <c r="F16" s="8">
        <f t="shared" si="0"/>
        <v>171.28145454545455</v>
      </c>
      <c r="G16" s="33">
        <v>471732</v>
      </c>
      <c r="H16" s="7">
        <v>1925</v>
      </c>
      <c r="I16" s="7">
        <v>13</v>
      </c>
      <c r="J16" s="8">
        <f t="shared" si="1"/>
        <v>53.095376623376623</v>
      </c>
      <c r="K16" s="7">
        <v>0</v>
      </c>
      <c r="L16" s="7">
        <v>1</v>
      </c>
      <c r="M16" s="7">
        <v>0</v>
      </c>
      <c r="N16" s="75">
        <f t="shared" si="2"/>
        <v>0</v>
      </c>
      <c r="O16" s="75">
        <f t="shared" si="3"/>
        <v>224.37683116883119</v>
      </c>
      <c r="P16" s="75">
        <f t="shared" si="5"/>
        <v>67.761803012987016</v>
      </c>
      <c r="Q16" s="68">
        <f t="shared" si="6"/>
        <v>228.86436779220782</v>
      </c>
      <c r="R16" s="55">
        <f>56.78</f>
        <v>56.78</v>
      </c>
      <c r="S16" s="55">
        <v>56.78</v>
      </c>
      <c r="T16" s="78">
        <f t="shared" si="7"/>
        <v>56.78</v>
      </c>
      <c r="U16" s="9">
        <f t="shared" si="8"/>
        <v>577.78300197402598</v>
      </c>
      <c r="V16" s="75">
        <f t="shared" si="9"/>
        <v>144.44575049350649</v>
      </c>
      <c r="W16" s="42">
        <v>722</v>
      </c>
      <c r="X16" s="71">
        <v>634.57687116883119</v>
      </c>
      <c r="Y16" s="60">
        <f t="shared" si="4"/>
        <v>1.1377660182763101</v>
      </c>
      <c r="Z16" s="60">
        <f t="shared" si="10"/>
        <v>0.13776601827631008</v>
      </c>
      <c r="AA16" s="14"/>
    </row>
    <row r="17" spans="1:31" ht="15" customHeight="1" x14ac:dyDescent="0.2">
      <c r="A17" s="38" t="s">
        <v>374</v>
      </c>
      <c r="B17" s="27" t="s">
        <v>235</v>
      </c>
      <c r="C17" s="21">
        <v>942048</v>
      </c>
      <c r="D17" s="7">
        <v>1650</v>
      </c>
      <c r="E17" s="7">
        <v>20</v>
      </c>
      <c r="F17" s="8">
        <f t="shared" si="0"/>
        <v>190.31272727272727</v>
      </c>
      <c r="G17" s="33">
        <v>471732</v>
      </c>
      <c r="H17" s="7">
        <v>1925</v>
      </c>
      <c r="I17" s="7">
        <v>13</v>
      </c>
      <c r="J17" s="8">
        <f t="shared" si="1"/>
        <v>53.095376623376623</v>
      </c>
      <c r="K17" s="7">
        <v>0</v>
      </c>
      <c r="L17" s="7">
        <v>1</v>
      </c>
      <c r="M17" s="7">
        <v>0</v>
      </c>
      <c r="N17" s="75">
        <f t="shared" si="2"/>
        <v>0</v>
      </c>
      <c r="O17" s="75">
        <f t="shared" si="3"/>
        <v>243.40810389610391</v>
      </c>
      <c r="P17" s="75">
        <f t="shared" si="5"/>
        <v>73.509247376623378</v>
      </c>
      <c r="Q17" s="68">
        <f t="shared" si="6"/>
        <v>248.27626597402599</v>
      </c>
      <c r="R17" s="55">
        <f>16.24+1.8</f>
        <v>18.04</v>
      </c>
      <c r="S17" s="55">
        <v>18.04</v>
      </c>
      <c r="T17" s="78">
        <f t="shared" si="7"/>
        <v>18.04</v>
      </c>
      <c r="U17" s="9">
        <f t="shared" si="8"/>
        <v>583.23361724675328</v>
      </c>
      <c r="V17" s="75">
        <f t="shared" si="9"/>
        <v>145.80840431168832</v>
      </c>
      <c r="W17" s="42">
        <v>729</v>
      </c>
      <c r="X17" s="71">
        <v>638.39345350649342</v>
      </c>
      <c r="Y17" s="60">
        <f t="shared" si="4"/>
        <v>1.1419290031810845</v>
      </c>
      <c r="Z17" s="60">
        <f t="shared" si="10"/>
        <v>0.14192900318108448</v>
      </c>
      <c r="AA17" s="14"/>
    </row>
    <row r="18" spans="1:31" ht="15" customHeight="1" x14ac:dyDescent="0.2">
      <c r="A18" s="38" t="s">
        <v>850</v>
      </c>
      <c r="B18" s="27" t="s">
        <v>66</v>
      </c>
      <c r="C18" s="21">
        <v>942048</v>
      </c>
      <c r="D18" s="7">
        <v>1925</v>
      </c>
      <c r="E18" s="7">
        <v>20</v>
      </c>
      <c r="F18" s="8">
        <f t="shared" si="0"/>
        <v>163.12519480519481</v>
      </c>
      <c r="G18" s="33">
        <v>471732</v>
      </c>
      <c r="H18" s="7">
        <v>1925</v>
      </c>
      <c r="I18" s="7">
        <v>15</v>
      </c>
      <c r="J18" s="8">
        <f>G18/H18/60*I18</f>
        <v>61.263896103896101</v>
      </c>
      <c r="K18" s="7">
        <v>8430</v>
      </c>
      <c r="L18" s="7">
        <v>846720</v>
      </c>
      <c r="M18" s="7">
        <v>10</v>
      </c>
      <c r="N18" s="75">
        <f t="shared" si="2"/>
        <v>9.9560657596371879E-2</v>
      </c>
      <c r="O18" s="75">
        <f t="shared" si="3"/>
        <v>224.48865156668728</v>
      </c>
      <c r="P18" s="75">
        <f t="shared" si="5"/>
        <v>67.795572773139554</v>
      </c>
      <c r="Q18" s="68">
        <f t="shared" si="6"/>
        <v>228.97842459802104</v>
      </c>
      <c r="R18" s="55">
        <f>17.02+1.8</f>
        <v>18.82</v>
      </c>
      <c r="S18" s="55">
        <v>18.82</v>
      </c>
      <c r="T18" s="78">
        <f t="shared" si="7"/>
        <v>18.82</v>
      </c>
      <c r="U18" s="9">
        <f t="shared" si="8"/>
        <v>540.18220959544431</v>
      </c>
      <c r="V18" s="75">
        <f>U18*25%</f>
        <v>135.04555239886108</v>
      </c>
      <c r="W18" s="42">
        <v>675</v>
      </c>
      <c r="X18" s="71">
        <v>626.24230718911053</v>
      </c>
      <c r="Y18" s="60">
        <f t="shared" si="4"/>
        <v>1.0778575517034907</v>
      </c>
      <c r="Z18" s="60">
        <f t="shared" si="10"/>
        <v>7.7857551703490735E-2</v>
      </c>
      <c r="AA18" s="14"/>
    </row>
    <row r="19" spans="1:31" ht="15" customHeight="1" x14ac:dyDescent="0.2">
      <c r="A19" s="38" t="s">
        <v>375</v>
      </c>
      <c r="B19" s="27" t="s">
        <v>103</v>
      </c>
      <c r="C19" s="21">
        <v>942048</v>
      </c>
      <c r="D19" s="7">
        <v>1650</v>
      </c>
      <c r="E19" s="7">
        <v>20</v>
      </c>
      <c r="F19" s="8">
        <f t="shared" si="0"/>
        <v>190.31272727272727</v>
      </c>
      <c r="G19" s="33">
        <v>471732</v>
      </c>
      <c r="H19" s="7">
        <v>1925</v>
      </c>
      <c r="I19" s="7">
        <v>15</v>
      </c>
      <c r="J19" s="8">
        <f>G19/H19/60*I19</f>
        <v>61.263896103896101</v>
      </c>
      <c r="K19" s="7">
        <v>0</v>
      </c>
      <c r="L19" s="7">
        <v>1</v>
      </c>
      <c r="M19" s="7">
        <v>0</v>
      </c>
      <c r="N19" s="75">
        <f>K19/L19/60*M19</f>
        <v>0</v>
      </c>
      <c r="O19" s="75">
        <f t="shared" si="3"/>
        <v>251.57662337662339</v>
      </c>
      <c r="P19" s="75">
        <f t="shared" si="5"/>
        <v>75.976140259740262</v>
      </c>
      <c r="Q19" s="68">
        <f t="shared" si="6"/>
        <v>256.60815584415587</v>
      </c>
      <c r="R19" s="55">
        <f>9.95+17.02</f>
        <v>26.97</v>
      </c>
      <c r="S19" s="55">
        <v>26.97</v>
      </c>
      <c r="T19" s="78">
        <f t="shared" si="7"/>
        <v>26.97</v>
      </c>
      <c r="U19" s="9">
        <f t="shared" si="8"/>
        <v>611.13091948051954</v>
      </c>
      <c r="V19" s="75">
        <f>U19*25%</f>
        <v>152.78272987012988</v>
      </c>
      <c r="W19" s="42">
        <v>764</v>
      </c>
      <c r="X19" s="71">
        <v>753.87044649350651</v>
      </c>
      <c r="Y19" s="60">
        <f t="shared" si="4"/>
        <v>1.0134367298169191</v>
      </c>
      <c r="Z19" s="60">
        <f t="shared" si="10"/>
        <v>1.3436729816919124E-2</v>
      </c>
      <c r="AA19" s="14"/>
    </row>
    <row r="20" spans="1:31" ht="15" customHeight="1" x14ac:dyDescent="0.2">
      <c r="A20" s="38" t="s">
        <v>851</v>
      </c>
      <c r="B20" s="27" t="s">
        <v>282</v>
      </c>
      <c r="C20" s="7">
        <v>428664.5</v>
      </c>
      <c r="D20" s="7">
        <v>144</v>
      </c>
      <c r="E20" s="7">
        <v>17</v>
      </c>
      <c r="F20" s="8">
        <f t="shared" si="0"/>
        <v>843.43709490740753</v>
      </c>
      <c r="G20" s="33">
        <v>471732</v>
      </c>
      <c r="H20" s="7">
        <v>1925</v>
      </c>
      <c r="I20" s="7">
        <v>5</v>
      </c>
      <c r="J20" s="8">
        <f t="shared" si="1"/>
        <v>20.421298701298699</v>
      </c>
      <c r="K20" s="7">
        <v>28126.400000000001</v>
      </c>
      <c r="L20" s="7">
        <v>846720</v>
      </c>
      <c r="M20" s="7">
        <v>2</v>
      </c>
      <c r="N20" s="75">
        <f>K20/L20*M20</f>
        <v>6.6436130007558589E-2</v>
      </c>
      <c r="O20" s="75">
        <f t="shared" si="3"/>
        <v>863.92482973871381</v>
      </c>
      <c r="P20" s="75">
        <f t="shared" si="5"/>
        <v>260.90529858109159</v>
      </c>
      <c r="Q20" s="68">
        <f t="shared" si="6"/>
        <v>881.20332633348812</v>
      </c>
      <c r="R20" s="55">
        <f>17.02+9.95</f>
        <v>26.97</v>
      </c>
      <c r="S20" s="55">
        <v>26.97</v>
      </c>
      <c r="T20" s="78">
        <f t="shared" si="7"/>
        <v>26.97</v>
      </c>
      <c r="U20" s="9">
        <f t="shared" si="8"/>
        <v>2033.0698907833012</v>
      </c>
      <c r="V20" s="75">
        <f t="shared" si="9"/>
        <v>508.26747269582529</v>
      </c>
      <c r="W20" s="42">
        <v>2541</v>
      </c>
      <c r="X20" s="71">
        <v>2533.9687829596455</v>
      </c>
      <c r="Y20" s="60">
        <f t="shared" si="4"/>
        <v>1.0027747843965711</v>
      </c>
      <c r="Z20" s="60">
        <f t="shared" si="10"/>
        <v>2.7747843965710839E-3</v>
      </c>
      <c r="AA20" s="14"/>
    </row>
    <row r="21" spans="1:31" ht="15" customHeight="1" x14ac:dyDescent="0.2">
      <c r="A21" s="38" t="s">
        <v>376</v>
      </c>
      <c r="B21" s="27" t="s">
        <v>77</v>
      </c>
      <c r="C21" s="7">
        <v>375187</v>
      </c>
      <c r="D21" s="7">
        <v>144</v>
      </c>
      <c r="E21" s="7">
        <v>15</v>
      </c>
      <c r="F21" s="8">
        <f t="shared" si="0"/>
        <v>651.36631944444446</v>
      </c>
      <c r="G21" s="33">
        <v>471732</v>
      </c>
      <c r="H21" s="7">
        <v>1925</v>
      </c>
      <c r="I21" s="7">
        <v>6</v>
      </c>
      <c r="J21" s="8">
        <f t="shared" si="1"/>
        <v>24.505558441558442</v>
      </c>
      <c r="K21" s="7">
        <v>28126.400000000001</v>
      </c>
      <c r="L21" s="7">
        <v>846720</v>
      </c>
      <c r="M21" s="7">
        <v>10</v>
      </c>
      <c r="N21" s="75">
        <f t="shared" ref="N21:N65" si="11">K21/L21*M21</f>
        <v>0.33218065003779296</v>
      </c>
      <c r="O21" s="75">
        <f t="shared" si="3"/>
        <v>676.20405853604075</v>
      </c>
      <c r="P21" s="75">
        <f t="shared" si="5"/>
        <v>204.21362567788429</v>
      </c>
      <c r="Q21" s="68">
        <f t="shared" si="6"/>
        <v>689.72813970676157</v>
      </c>
      <c r="R21" s="55">
        <f>17.02+9.95</f>
        <v>26.97</v>
      </c>
      <c r="S21" s="55">
        <v>26.97</v>
      </c>
      <c r="T21" s="78">
        <f t="shared" si="7"/>
        <v>26.97</v>
      </c>
      <c r="U21" s="9">
        <f t="shared" si="8"/>
        <v>1597.4480045707244</v>
      </c>
      <c r="V21" s="75">
        <f t="shared" si="9"/>
        <v>399.36200114268109</v>
      </c>
      <c r="W21" s="42">
        <v>1997</v>
      </c>
      <c r="X21" s="71">
        <v>1861.9283262775284</v>
      </c>
      <c r="Y21" s="60">
        <f t="shared" si="4"/>
        <v>1.0725439705794231</v>
      </c>
      <c r="Z21" s="60">
        <f t="shared" si="10"/>
        <v>7.2543970579423078E-2</v>
      </c>
      <c r="AA21" s="14"/>
    </row>
    <row r="22" spans="1:31" ht="15" customHeight="1" x14ac:dyDescent="0.2">
      <c r="A22" s="38" t="s">
        <v>852</v>
      </c>
      <c r="B22" s="27" t="s">
        <v>30</v>
      </c>
      <c r="C22" s="21">
        <v>942048</v>
      </c>
      <c r="D22" s="7">
        <v>1925</v>
      </c>
      <c r="E22" s="7">
        <v>30</v>
      </c>
      <c r="F22" s="8">
        <f t="shared" si="0"/>
        <v>244.6877922077922</v>
      </c>
      <c r="G22" s="33">
        <v>471732</v>
      </c>
      <c r="H22" s="7">
        <v>1925</v>
      </c>
      <c r="I22" s="7">
        <v>25</v>
      </c>
      <c r="J22" s="8">
        <f t="shared" si="1"/>
        <v>102.10649350649351</v>
      </c>
      <c r="K22" s="7">
        <v>5130</v>
      </c>
      <c r="L22" s="7">
        <v>846720</v>
      </c>
      <c r="M22" s="7">
        <v>30</v>
      </c>
      <c r="N22" s="75">
        <f t="shared" si="11"/>
        <v>0.18176020408163265</v>
      </c>
      <c r="O22" s="75">
        <f t="shared" si="3"/>
        <v>346.97604591836733</v>
      </c>
      <c r="P22" s="75">
        <f t="shared" si="5"/>
        <v>104.78676586734693</v>
      </c>
      <c r="Q22" s="68">
        <f t="shared" si="6"/>
        <v>353.91556683673468</v>
      </c>
      <c r="R22" s="55">
        <f>17.02+9.95</f>
        <v>26.97</v>
      </c>
      <c r="S22" s="55">
        <v>26.97</v>
      </c>
      <c r="T22" s="78">
        <f t="shared" si="7"/>
        <v>26.97</v>
      </c>
      <c r="U22" s="9">
        <f t="shared" si="8"/>
        <v>832.83013882653063</v>
      </c>
      <c r="V22" s="75">
        <f t="shared" si="9"/>
        <v>208.20753470663266</v>
      </c>
      <c r="W22" s="42">
        <v>1041</v>
      </c>
      <c r="X22" s="71">
        <v>973.80371119550091</v>
      </c>
      <c r="Y22" s="60">
        <f t="shared" si="4"/>
        <v>1.0690039358363144</v>
      </c>
      <c r="Z22" s="60">
        <f t="shared" si="10"/>
        <v>6.9003935836314367E-2</v>
      </c>
      <c r="AA22" s="14"/>
    </row>
    <row r="23" spans="1:31" ht="15" customHeight="1" x14ac:dyDescent="0.2">
      <c r="A23" s="38" t="s">
        <v>377</v>
      </c>
      <c r="B23" s="27" t="s">
        <v>341</v>
      </c>
      <c r="C23" s="21">
        <v>942048</v>
      </c>
      <c r="D23" s="7">
        <v>1650</v>
      </c>
      <c r="E23" s="7">
        <v>45</v>
      </c>
      <c r="F23" s="8">
        <f t="shared" si="0"/>
        <v>428.20363636363641</v>
      </c>
      <c r="G23" s="33">
        <v>471732</v>
      </c>
      <c r="H23" s="7">
        <v>1925</v>
      </c>
      <c r="I23" s="7">
        <v>0</v>
      </c>
      <c r="J23" s="8">
        <f>G23/H23/60*I23</f>
        <v>0</v>
      </c>
      <c r="K23" s="7">
        <v>8430</v>
      </c>
      <c r="L23" s="7">
        <v>846720</v>
      </c>
      <c r="M23" s="7">
        <v>0</v>
      </c>
      <c r="N23" s="75">
        <f>K23/L23*M23</f>
        <v>0</v>
      </c>
      <c r="O23" s="75">
        <f t="shared" si="3"/>
        <v>428.20363636363641</v>
      </c>
      <c r="P23" s="75">
        <f t="shared" si="5"/>
        <v>129.31749818181819</v>
      </c>
      <c r="Q23" s="68">
        <f t="shared" si="6"/>
        <v>436.76770909090914</v>
      </c>
      <c r="R23" s="55">
        <f>17.02+9.95</f>
        <v>26.97</v>
      </c>
      <c r="S23" s="55">
        <v>26.97</v>
      </c>
      <c r="T23" s="78">
        <f t="shared" si="7"/>
        <v>26.97</v>
      </c>
      <c r="U23" s="9">
        <f t="shared" si="8"/>
        <v>1021.2588436363637</v>
      </c>
      <c r="V23" s="75">
        <f>U23*25%</f>
        <v>255.31471090909093</v>
      </c>
      <c r="W23" s="42">
        <v>1277</v>
      </c>
      <c r="X23" s="71">
        <v>1027.8966918644353</v>
      </c>
      <c r="Y23" s="60">
        <f t="shared" si="4"/>
        <v>1.2423427471915804</v>
      </c>
      <c r="Z23" s="60">
        <f t="shared" si="10"/>
        <v>0.24234274719158044</v>
      </c>
      <c r="AA23" s="14"/>
    </row>
    <row r="24" spans="1:31" ht="15" customHeight="1" x14ac:dyDescent="0.2">
      <c r="A24" s="38" t="s">
        <v>853</v>
      </c>
      <c r="B24" s="27" t="s">
        <v>342</v>
      </c>
      <c r="C24" s="21">
        <v>942048</v>
      </c>
      <c r="D24" s="7">
        <v>1650</v>
      </c>
      <c r="E24" s="7">
        <v>60</v>
      </c>
      <c r="F24" s="8">
        <f t="shared" si="0"/>
        <v>570.93818181818187</v>
      </c>
      <c r="G24" s="33">
        <v>471732</v>
      </c>
      <c r="H24" s="7">
        <v>1925</v>
      </c>
      <c r="I24" s="7">
        <v>0</v>
      </c>
      <c r="J24" s="8">
        <f>G24/H24/60*I24</f>
        <v>0</v>
      </c>
      <c r="K24" s="7">
        <v>0</v>
      </c>
      <c r="L24" s="7">
        <v>1</v>
      </c>
      <c r="M24" s="7">
        <v>0</v>
      </c>
      <c r="N24" s="75">
        <f t="shared" si="11"/>
        <v>0</v>
      </c>
      <c r="O24" s="75">
        <f t="shared" si="3"/>
        <v>570.93818181818187</v>
      </c>
      <c r="P24" s="75">
        <f t="shared" si="5"/>
        <v>172.42333090909091</v>
      </c>
      <c r="Q24" s="68">
        <f t="shared" si="6"/>
        <v>582.35694545454555</v>
      </c>
      <c r="R24" s="55">
        <f>R23+40</f>
        <v>66.97</v>
      </c>
      <c r="S24" s="55">
        <v>66.97</v>
      </c>
      <c r="T24" s="78">
        <f t="shared" si="7"/>
        <v>66.97</v>
      </c>
      <c r="U24" s="9">
        <f t="shared" si="8"/>
        <v>1392.6884581818183</v>
      </c>
      <c r="V24" s="75">
        <f>U24*25%</f>
        <v>348.17211454545458</v>
      </c>
      <c r="W24" s="42">
        <v>1741</v>
      </c>
      <c r="X24" s="71">
        <v>1391.4387753246754</v>
      </c>
      <c r="Y24" s="60">
        <f t="shared" si="4"/>
        <v>1.2512228571420678</v>
      </c>
      <c r="Z24" s="60">
        <f t="shared" si="10"/>
        <v>0.25122285714206782</v>
      </c>
      <c r="AA24" s="14"/>
    </row>
    <row r="25" spans="1:31" ht="15" customHeight="1" x14ac:dyDescent="0.2">
      <c r="A25" s="36" t="s">
        <v>378</v>
      </c>
      <c r="B25" s="27" t="s">
        <v>839</v>
      </c>
      <c r="C25" s="7">
        <v>942048</v>
      </c>
      <c r="D25" s="7">
        <v>1650</v>
      </c>
      <c r="E25" s="7">
        <v>5</v>
      </c>
      <c r="F25" s="8">
        <f>C25/D25/60*E25</f>
        <v>47.578181818181818</v>
      </c>
      <c r="G25" s="33">
        <v>471732</v>
      </c>
      <c r="H25" s="7">
        <v>1925</v>
      </c>
      <c r="I25" s="7">
        <v>3</v>
      </c>
      <c r="J25" s="8">
        <f t="shared" ref="J25:J30" si="12">G25/H25/60*I25</f>
        <v>12.252779220779221</v>
      </c>
      <c r="K25" s="7">
        <v>0</v>
      </c>
      <c r="L25" s="7">
        <v>1</v>
      </c>
      <c r="M25" s="7">
        <v>0</v>
      </c>
      <c r="N25" s="75">
        <f t="shared" si="11"/>
        <v>0</v>
      </c>
      <c r="O25" s="75">
        <f t="shared" ref="O25:O30" si="13">F25+J25+N25</f>
        <v>59.830961038961036</v>
      </c>
      <c r="P25" s="75">
        <f t="shared" ref="P25:P30" si="14">O25*0.302</f>
        <v>18.06895023376623</v>
      </c>
      <c r="Q25" s="68">
        <f t="shared" ref="Q25:Q30" si="15">(O25)*102%</f>
        <v>61.027580259740255</v>
      </c>
      <c r="R25" s="55">
        <f>15.12+17.02+1.8</f>
        <v>33.94</v>
      </c>
      <c r="S25" s="55">
        <v>33.94</v>
      </c>
      <c r="T25" s="78">
        <f t="shared" si="7"/>
        <v>33.94</v>
      </c>
      <c r="U25" s="9">
        <f t="shared" si="8"/>
        <v>172.86749153246751</v>
      </c>
      <c r="V25" s="75">
        <f t="shared" si="9"/>
        <v>43.216872883116878</v>
      </c>
      <c r="W25" s="42">
        <v>216</v>
      </c>
      <c r="X25" s="71">
        <v>209.53059480519477</v>
      </c>
      <c r="Y25" s="60">
        <f t="shared" si="4"/>
        <v>1.0308757067234977</v>
      </c>
      <c r="Z25" s="60">
        <f t="shared" si="10"/>
        <v>3.0875706723497709E-2</v>
      </c>
      <c r="AA25" s="14"/>
    </row>
    <row r="26" spans="1:31" ht="15" customHeight="1" x14ac:dyDescent="0.2">
      <c r="A26" s="36" t="s">
        <v>854</v>
      </c>
      <c r="B26" s="27" t="s">
        <v>840</v>
      </c>
      <c r="C26" s="21">
        <v>942048</v>
      </c>
      <c r="D26" s="7">
        <v>1650</v>
      </c>
      <c r="E26" s="7">
        <v>4</v>
      </c>
      <c r="F26" s="8">
        <f>C26/D26/60*E26</f>
        <v>38.062545454545457</v>
      </c>
      <c r="G26" s="33">
        <v>471732</v>
      </c>
      <c r="H26" s="7">
        <v>1925</v>
      </c>
      <c r="I26" s="7">
        <v>2</v>
      </c>
      <c r="J26" s="8">
        <f t="shared" si="12"/>
        <v>8.1685194805194801</v>
      </c>
      <c r="K26" s="7">
        <v>0</v>
      </c>
      <c r="L26" s="7">
        <v>1</v>
      </c>
      <c r="M26" s="7">
        <v>0</v>
      </c>
      <c r="N26" s="75">
        <f t="shared" si="11"/>
        <v>0</v>
      </c>
      <c r="O26" s="75">
        <f t="shared" si="13"/>
        <v>46.231064935064936</v>
      </c>
      <c r="P26" s="75">
        <f t="shared" si="14"/>
        <v>13.961781610389609</v>
      </c>
      <c r="Q26" s="68">
        <f t="shared" si="15"/>
        <v>47.155686233766232</v>
      </c>
      <c r="R26" s="55">
        <f>15.12+17.02+1.8</f>
        <v>33.94</v>
      </c>
      <c r="S26" s="55">
        <v>33.94</v>
      </c>
      <c r="T26" s="78">
        <f t="shared" si="7"/>
        <v>33.94</v>
      </c>
      <c r="U26" s="9">
        <f t="shared" si="8"/>
        <v>141.28853277922076</v>
      </c>
      <c r="V26" s="75">
        <f t="shared" si="9"/>
        <v>35.32213319480519</v>
      </c>
      <c r="W26" s="42">
        <v>177</v>
      </c>
      <c r="X26" s="71">
        <v>167.83853194805192</v>
      </c>
      <c r="Y26" s="60">
        <f t="shared" si="4"/>
        <v>1.0545850106385801</v>
      </c>
      <c r="Z26" s="60">
        <f t="shared" si="10"/>
        <v>5.4585010638580123E-2</v>
      </c>
      <c r="AA26" s="14"/>
    </row>
    <row r="27" spans="1:31" ht="15" customHeight="1" x14ac:dyDescent="0.2">
      <c r="A27" s="36" t="s">
        <v>379</v>
      </c>
      <c r="B27" s="27" t="s">
        <v>268</v>
      </c>
      <c r="C27" s="21">
        <v>942048</v>
      </c>
      <c r="D27" s="7">
        <v>1650</v>
      </c>
      <c r="E27" s="7">
        <v>12</v>
      </c>
      <c r="F27" s="8">
        <f>C27/D27/60*E27</f>
        <v>114.18763636363637</v>
      </c>
      <c r="G27" s="33">
        <v>471732</v>
      </c>
      <c r="H27" s="7">
        <v>1925</v>
      </c>
      <c r="I27" s="7">
        <v>9</v>
      </c>
      <c r="J27" s="8">
        <f t="shared" si="12"/>
        <v>36.758337662337659</v>
      </c>
      <c r="K27" s="7">
        <v>299368.25</v>
      </c>
      <c r="L27" s="7">
        <v>846720</v>
      </c>
      <c r="M27" s="7">
        <v>11</v>
      </c>
      <c r="N27" s="75">
        <f t="shared" si="11"/>
        <v>3.8891850316515497</v>
      </c>
      <c r="O27" s="75">
        <f t="shared" si="13"/>
        <v>154.83515905762559</v>
      </c>
      <c r="P27" s="75">
        <f t="shared" si="14"/>
        <v>46.760218035402929</v>
      </c>
      <c r="Q27" s="68">
        <f t="shared" si="15"/>
        <v>157.93186223877811</v>
      </c>
      <c r="R27" s="55">
        <f>1.635*2+1.54*6</f>
        <v>12.51</v>
      </c>
      <c r="S27" s="55">
        <v>12.51</v>
      </c>
      <c r="T27" s="78">
        <f t="shared" si="7"/>
        <v>12.51</v>
      </c>
      <c r="U27" s="9">
        <f t="shared" si="8"/>
        <v>375.92642436345818</v>
      </c>
      <c r="V27" s="75">
        <f>U27*25%</f>
        <v>93.981606090864545</v>
      </c>
      <c r="W27" s="42">
        <v>470</v>
      </c>
      <c r="X27" s="71">
        <v>459.93217564912783</v>
      </c>
      <c r="Y27" s="60">
        <f t="shared" si="4"/>
        <v>1.0218898022010807</v>
      </c>
      <c r="Z27" s="60">
        <f t="shared" si="10"/>
        <v>2.1889802201080721E-2</v>
      </c>
      <c r="AA27" s="14"/>
    </row>
    <row r="28" spans="1:31" s="65" customFormat="1" ht="15" customHeight="1" x14ac:dyDescent="0.2">
      <c r="A28" s="72" t="s">
        <v>855</v>
      </c>
      <c r="B28" s="73" t="s">
        <v>90</v>
      </c>
      <c r="C28" s="74"/>
      <c r="D28" s="74"/>
      <c r="E28" s="74"/>
      <c r="F28" s="75"/>
      <c r="G28" s="76">
        <v>471732</v>
      </c>
      <c r="H28" s="74">
        <v>1925</v>
      </c>
      <c r="I28" s="74">
        <v>8</v>
      </c>
      <c r="J28" s="75">
        <f t="shared" si="12"/>
        <v>32.67407792207792</v>
      </c>
      <c r="K28" s="74">
        <v>12340</v>
      </c>
      <c r="L28" s="74">
        <v>846720</v>
      </c>
      <c r="M28" s="74">
        <v>10</v>
      </c>
      <c r="N28" s="75">
        <f t="shared" si="11"/>
        <v>0.14573885109599397</v>
      </c>
      <c r="O28" s="75">
        <f t="shared" si="13"/>
        <v>32.819816773173912</v>
      </c>
      <c r="P28" s="75">
        <f t="shared" si="14"/>
        <v>9.9115846654985216</v>
      </c>
      <c r="Q28" s="77">
        <f t="shared" si="15"/>
        <v>33.476213108637388</v>
      </c>
      <c r="R28" s="59">
        <f>1.54*2+1.26</f>
        <v>4.34</v>
      </c>
      <c r="S28" s="59">
        <v>4.34</v>
      </c>
      <c r="T28" s="78">
        <f t="shared" si="7"/>
        <v>4.34</v>
      </c>
      <c r="U28" s="79">
        <f t="shared" si="8"/>
        <v>80.693353398405819</v>
      </c>
      <c r="V28" s="75">
        <f t="shared" si="9"/>
        <v>20.173338349601455</v>
      </c>
      <c r="W28" s="80">
        <v>101</v>
      </c>
      <c r="X28" s="81">
        <v>99.457810709046228</v>
      </c>
      <c r="Y28" s="82">
        <f t="shared" si="4"/>
        <v>1.0155059645889983</v>
      </c>
      <c r="Z28" s="60">
        <f t="shared" si="10"/>
        <v>1.5505964588998333E-2</v>
      </c>
      <c r="AA28" s="83"/>
      <c r="AB28" s="84"/>
      <c r="AC28" s="85"/>
    </row>
    <row r="29" spans="1:31" ht="15" customHeight="1" x14ac:dyDescent="0.2">
      <c r="A29" s="36" t="s">
        <v>380</v>
      </c>
      <c r="B29" s="28" t="s">
        <v>323</v>
      </c>
      <c r="C29" s="21">
        <v>942048</v>
      </c>
      <c r="D29" s="7">
        <v>1650</v>
      </c>
      <c r="E29" s="21">
        <v>60</v>
      </c>
      <c r="F29" s="8">
        <f>C29/D29/60*E29</f>
        <v>570.93818181818187</v>
      </c>
      <c r="G29" s="33">
        <v>471732</v>
      </c>
      <c r="H29" s="7">
        <v>1925</v>
      </c>
      <c r="I29" s="21">
        <v>5</v>
      </c>
      <c r="J29" s="9">
        <f t="shared" si="12"/>
        <v>20.421298701298699</v>
      </c>
      <c r="K29" s="7">
        <v>5130</v>
      </c>
      <c r="L29" s="7">
        <v>846720</v>
      </c>
      <c r="M29" s="21">
        <v>20</v>
      </c>
      <c r="N29" s="75">
        <f t="shared" si="11"/>
        <v>0.1211734693877551</v>
      </c>
      <c r="O29" s="75">
        <f t="shared" si="13"/>
        <v>591.48065398886831</v>
      </c>
      <c r="P29" s="75">
        <f t="shared" si="14"/>
        <v>178.62715750463823</v>
      </c>
      <c r="Q29" s="68">
        <f t="shared" si="15"/>
        <v>603.31026706864566</v>
      </c>
      <c r="R29" s="55">
        <f>7.95+1.8</f>
        <v>9.75</v>
      </c>
      <c r="S29" s="55">
        <v>9.75</v>
      </c>
      <c r="T29" s="78">
        <f t="shared" si="7"/>
        <v>9.75</v>
      </c>
      <c r="U29" s="9">
        <f t="shared" si="8"/>
        <v>1383.2892520315399</v>
      </c>
      <c r="V29" s="75">
        <f t="shared" si="9"/>
        <v>345.82231300788499</v>
      </c>
      <c r="W29" s="42">
        <v>1729</v>
      </c>
      <c r="X29" s="71">
        <v>1341.1786437407238</v>
      </c>
      <c r="Y29" s="60">
        <f t="shared" si="4"/>
        <v>1.2891645777907641</v>
      </c>
      <c r="Z29" s="60">
        <f t="shared" si="10"/>
        <v>0.2891645777907641</v>
      </c>
      <c r="AA29" s="14"/>
    </row>
    <row r="30" spans="1:31" ht="15" customHeight="1" x14ac:dyDescent="0.2">
      <c r="A30" s="36" t="s">
        <v>381</v>
      </c>
      <c r="B30" s="28" t="s">
        <v>324</v>
      </c>
      <c r="C30" s="7">
        <f>C29*2</f>
        <v>1884096</v>
      </c>
      <c r="D30" s="7">
        <v>1650</v>
      </c>
      <c r="E30" s="21">
        <v>60</v>
      </c>
      <c r="F30" s="8">
        <f>C30/D30/60*E30</f>
        <v>1141.8763636363637</v>
      </c>
      <c r="G30" s="33">
        <v>471732</v>
      </c>
      <c r="H30" s="7">
        <v>1925</v>
      </c>
      <c r="I30" s="21">
        <v>0</v>
      </c>
      <c r="J30" s="9">
        <f t="shared" si="12"/>
        <v>0</v>
      </c>
      <c r="K30" s="7">
        <v>5130</v>
      </c>
      <c r="L30" s="7">
        <v>846720</v>
      </c>
      <c r="M30" s="21">
        <v>20</v>
      </c>
      <c r="N30" s="75">
        <f t="shared" si="11"/>
        <v>0.1211734693877551</v>
      </c>
      <c r="O30" s="75">
        <f t="shared" si="13"/>
        <v>1141.9975371057515</v>
      </c>
      <c r="P30" s="75">
        <f t="shared" si="14"/>
        <v>344.88325620593696</v>
      </c>
      <c r="Q30" s="68">
        <f t="shared" si="15"/>
        <v>1164.8374878478664</v>
      </c>
      <c r="R30" s="55">
        <f>7.95+1.8</f>
        <v>9.75</v>
      </c>
      <c r="S30" s="55">
        <v>9.75</v>
      </c>
      <c r="T30" s="78">
        <f t="shared" si="7"/>
        <v>9.75</v>
      </c>
      <c r="U30" s="9">
        <f t="shared" si="8"/>
        <v>2661.5894546289428</v>
      </c>
      <c r="V30" s="75">
        <f t="shared" si="9"/>
        <v>665.3973636572357</v>
      </c>
      <c r="W30" s="42">
        <v>3327</v>
      </c>
      <c r="X30" s="71">
        <v>2523.8315727272725</v>
      </c>
      <c r="Y30" s="60">
        <f t="shared" si="4"/>
        <v>1.3182337664493267</v>
      </c>
      <c r="Z30" s="60">
        <f t="shared" si="10"/>
        <v>0.31823376644932666</v>
      </c>
      <c r="AA30" s="14"/>
    </row>
    <row r="31" spans="1:31" ht="15" customHeight="1" x14ac:dyDescent="0.2">
      <c r="A31" s="36" t="s">
        <v>382</v>
      </c>
      <c r="B31" s="27" t="s">
        <v>319</v>
      </c>
      <c r="C31" s="7">
        <v>942048</v>
      </c>
      <c r="D31" s="7">
        <v>1650</v>
      </c>
      <c r="E31" s="7">
        <v>3</v>
      </c>
      <c r="F31" s="8">
        <f>C31/D31/60*E31</f>
        <v>28.546909090909093</v>
      </c>
      <c r="G31" s="94">
        <v>471732</v>
      </c>
      <c r="H31" s="7">
        <v>1925</v>
      </c>
      <c r="I31" s="7">
        <v>0</v>
      </c>
      <c r="J31" s="8">
        <f>G31/H31/60*I31</f>
        <v>0</v>
      </c>
      <c r="K31" s="7">
        <v>0</v>
      </c>
      <c r="L31" s="7">
        <v>1</v>
      </c>
      <c r="M31" s="7">
        <v>0</v>
      </c>
      <c r="N31" s="75">
        <f>K31/L31*M31</f>
        <v>0</v>
      </c>
      <c r="O31" s="75">
        <f>F31+J31+N31</f>
        <v>28.546909090909093</v>
      </c>
      <c r="P31" s="75">
        <f>O31*0.342</f>
        <v>9.7630429090909114</v>
      </c>
      <c r="Q31" s="68">
        <f>(O31)*102%</f>
        <v>29.117847272727275</v>
      </c>
      <c r="R31" s="55">
        <f>16.21+12.34*2+18+1.75*2</f>
        <v>62.39</v>
      </c>
      <c r="S31" s="55">
        <v>62.39</v>
      </c>
      <c r="T31" s="97">
        <f t="shared" si="7"/>
        <v>62.39</v>
      </c>
      <c r="U31" s="8">
        <f t="shared" si="8"/>
        <v>129.81779927272726</v>
      </c>
      <c r="V31" s="75">
        <f>U31*25%</f>
        <v>32.454449818181814</v>
      </c>
      <c r="W31" s="95">
        <v>162</v>
      </c>
      <c r="X31" s="96">
        <v>141.86027454545456</v>
      </c>
      <c r="Y31" s="60">
        <f t="shared" si="4"/>
        <v>1.1419687471991484</v>
      </c>
      <c r="Z31" s="60">
        <f t="shared" si="10"/>
        <v>0.14196874719914843</v>
      </c>
      <c r="AA31" s="14"/>
    </row>
    <row r="32" spans="1:31" s="65" customFormat="1" ht="15" customHeight="1" x14ac:dyDescent="0.2">
      <c r="A32" s="36" t="s">
        <v>383</v>
      </c>
      <c r="B32" s="27" t="s">
        <v>844</v>
      </c>
      <c r="C32" s="21">
        <v>942048</v>
      </c>
      <c r="D32" s="7">
        <v>1650</v>
      </c>
      <c r="E32" s="7">
        <v>19</v>
      </c>
      <c r="F32" s="8">
        <f>C32/D32/60*E32</f>
        <v>180.79709090909091</v>
      </c>
      <c r="G32" s="94">
        <v>471732</v>
      </c>
      <c r="H32" s="7">
        <v>1925</v>
      </c>
      <c r="I32" s="7">
        <v>10</v>
      </c>
      <c r="J32" s="8">
        <f>G32/H32/60*I32</f>
        <v>40.842597402597399</v>
      </c>
      <c r="K32" s="7">
        <v>0</v>
      </c>
      <c r="L32" s="7">
        <v>1</v>
      </c>
      <c r="M32" s="7">
        <v>0</v>
      </c>
      <c r="N32" s="75">
        <f>K32/L32*M32</f>
        <v>0</v>
      </c>
      <c r="O32" s="75">
        <f>F32+J32+N32</f>
        <v>221.6396883116883</v>
      </c>
      <c r="P32" s="75">
        <v>0</v>
      </c>
      <c r="Q32" s="68">
        <f>(O32)*102%</f>
        <v>226.07248207792207</v>
      </c>
      <c r="R32" s="55">
        <f>0.23*2+2.039*5+2.8+5+1.635*2+0.36*3+15.74*2</f>
        <v>54.284999999999997</v>
      </c>
      <c r="S32" s="55">
        <f>0.23*2+2.039*5+2.8+5+1.635*2+0.36*3+15.74*2</f>
        <v>54.284999999999997</v>
      </c>
      <c r="T32" s="97">
        <f t="shared" si="7"/>
        <v>54.284999999999997</v>
      </c>
      <c r="U32" s="8">
        <f t="shared" si="8"/>
        <v>501.99717038961035</v>
      </c>
      <c r="V32" s="75">
        <f>U32*25%</f>
        <v>125.49929259740259</v>
      </c>
      <c r="W32" s="95">
        <v>627</v>
      </c>
      <c r="X32" s="96">
        <v>603.60292359307346</v>
      </c>
      <c r="Y32" s="60">
        <f t="shared" si="4"/>
        <v>1.0387623642835435</v>
      </c>
      <c r="Z32" s="60">
        <f t="shared" si="10"/>
        <v>3.8762364283543516E-2</v>
      </c>
      <c r="AA32" s="14"/>
      <c r="AB32" s="47"/>
      <c r="AC32" s="16"/>
      <c r="AD32" s="5"/>
      <c r="AE32" s="5"/>
    </row>
    <row r="33" spans="1:27" ht="15" customHeight="1" x14ac:dyDescent="0.2">
      <c r="A33" s="36" t="s">
        <v>384</v>
      </c>
      <c r="B33" s="27" t="s">
        <v>363</v>
      </c>
      <c r="C33" s="7">
        <v>942048</v>
      </c>
      <c r="D33" s="7">
        <v>1650</v>
      </c>
      <c r="E33" s="7">
        <v>13</v>
      </c>
      <c r="F33" s="8">
        <f t="shared" ref="F33:F51" si="16">C33/D33/60*E33</f>
        <v>123.70327272727273</v>
      </c>
      <c r="G33" s="33">
        <v>471732</v>
      </c>
      <c r="H33" s="7">
        <v>1925</v>
      </c>
      <c r="I33" s="7">
        <v>4</v>
      </c>
      <c r="J33" s="8">
        <f t="shared" ref="J33:J94" si="17">G33/H33/60*I33</f>
        <v>16.33703896103896</v>
      </c>
      <c r="K33" s="7">
        <v>0</v>
      </c>
      <c r="L33" s="7">
        <v>1</v>
      </c>
      <c r="M33" s="7">
        <v>0</v>
      </c>
      <c r="N33" s="75">
        <f t="shared" si="11"/>
        <v>0</v>
      </c>
      <c r="O33" s="75">
        <f t="shared" ref="O33:O65" si="18">F33+J33+N33</f>
        <v>140.0403116883117</v>
      </c>
      <c r="P33" s="75">
        <f>O33*0.302</f>
        <v>42.292174129870133</v>
      </c>
      <c r="Q33" s="68">
        <f>(O33)*102%</f>
        <v>142.84111792207793</v>
      </c>
      <c r="R33" s="55">
        <f>3.6+1.8+15.12+17.02</f>
        <v>37.54</v>
      </c>
      <c r="S33" s="55">
        <v>37.54</v>
      </c>
      <c r="T33" s="78">
        <f t="shared" si="7"/>
        <v>37.54</v>
      </c>
      <c r="U33" s="9">
        <f t="shared" si="8"/>
        <v>362.71360374025977</v>
      </c>
      <c r="V33" s="75">
        <f t="shared" si="9"/>
        <v>90.678400935064943</v>
      </c>
      <c r="W33" s="42">
        <v>453</v>
      </c>
      <c r="X33" s="71">
        <v>444.09596311688313</v>
      </c>
      <c r="Y33" s="60">
        <f t="shared" si="4"/>
        <v>1.0200498036969847</v>
      </c>
      <c r="Z33" s="60">
        <f t="shared" si="10"/>
        <v>2.0049803696984725E-2</v>
      </c>
      <c r="AA33" s="14"/>
    </row>
    <row r="34" spans="1:27" ht="15" customHeight="1" x14ac:dyDescent="0.2">
      <c r="A34" s="36" t="s">
        <v>385</v>
      </c>
      <c r="B34" s="27" t="s">
        <v>328</v>
      </c>
      <c r="C34" s="21">
        <v>942048</v>
      </c>
      <c r="D34" s="7">
        <v>1925</v>
      </c>
      <c r="E34" s="7">
        <v>17</v>
      </c>
      <c r="F34" s="8">
        <f t="shared" si="16"/>
        <v>138.65641558441558</v>
      </c>
      <c r="G34" s="33">
        <v>471732</v>
      </c>
      <c r="H34" s="7">
        <v>1925</v>
      </c>
      <c r="I34" s="7">
        <v>14</v>
      </c>
      <c r="J34" s="8">
        <f t="shared" si="17"/>
        <v>57.179636363636362</v>
      </c>
      <c r="K34" s="7">
        <v>32116.67</v>
      </c>
      <c r="L34" s="7">
        <v>846720</v>
      </c>
      <c r="M34" s="7">
        <v>25</v>
      </c>
      <c r="N34" s="75">
        <f t="shared" si="11"/>
        <v>0.94826713671579743</v>
      </c>
      <c r="O34" s="75">
        <f t="shared" si="18"/>
        <v>196.78431908476773</v>
      </c>
      <c r="P34" s="75">
        <f t="shared" ref="P34:P65" si="19">O34*0.302</f>
        <v>59.42886436359985</v>
      </c>
      <c r="Q34" s="68">
        <f t="shared" ref="Q34:Q66" si="20">(O34)*102%</f>
        <v>200.72000546646308</v>
      </c>
      <c r="R34" s="55">
        <f>17.02</f>
        <v>17.02</v>
      </c>
      <c r="S34" s="55">
        <v>17.02</v>
      </c>
      <c r="T34" s="78">
        <f t="shared" si="7"/>
        <v>17.02</v>
      </c>
      <c r="U34" s="9">
        <f t="shared" si="8"/>
        <v>474.90145605154646</v>
      </c>
      <c r="V34" s="75">
        <f>U34*25%</f>
        <v>118.72536401288662</v>
      </c>
      <c r="W34" s="42">
        <v>594</v>
      </c>
      <c r="X34" s="71">
        <v>581.25508344105651</v>
      </c>
      <c r="Y34" s="60">
        <f t="shared" si="4"/>
        <v>1.0219265464028169</v>
      </c>
      <c r="Z34" s="60">
        <f t="shared" si="10"/>
        <v>2.1926546402816882E-2</v>
      </c>
      <c r="AA34" s="14"/>
    </row>
    <row r="35" spans="1:27" ht="15" customHeight="1" x14ac:dyDescent="0.2">
      <c r="A35" s="36" t="s">
        <v>386</v>
      </c>
      <c r="B35" s="27" t="s">
        <v>329</v>
      </c>
      <c r="C35" s="21">
        <v>942048</v>
      </c>
      <c r="D35" s="7">
        <v>1925</v>
      </c>
      <c r="E35" s="7">
        <v>15</v>
      </c>
      <c r="F35" s="8">
        <f t="shared" si="16"/>
        <v>122.3438961038961</v>
      </c>
      <c r="G35" s="33">
        <v>471732</v>
      </c>
      <c r="H35" s="7">
        <v>1925</v>
      </c>
      <c r="I35" s="7">
        <v>14</v>
      </c>
      <c r="J35" s="8">
        <f>G35/H35/60*I35</f>
        <v>57.179636363636362</v>
      </c>
      <c r="K35" s="7">
        <v>32116.67</v>
      </c>
      <c r="L35" s="7">
        <v>846720</v>
      </c>
      <c r="M35" s="7">
        <v>10</v>
      </c>
      <c r="N35" s="75">
        <f>K35/L35*M35</f>
        <v>0.37930685468631897</v>
      </c>
      <c r="O35" s="75">
        <f>F35+J35+N35</f>
        <v>179.90283932221877</v>
      </c>
      <c r="P35" s="75">
        <f>O35*0.302</f>
        <v>54.330657475310069</v>
      </c>
      <c r="Q35" s="68">
        <f t="shared" si="20"/>
        <v>183.50089610866314</v>
      </c>
      <c r="R35" s="55">
        <f>17.02</f>
        <v>17.02</v>
      </c>
      <c r="S35" s="55">
        <v>17.02</v>
      </c>
      <c r="T35" s="78">
        <f t="shared" si="7"/>
        <v>17.02</v>
      </c>
      <c r="U35" s="9">
        <f t="shared" si="8"/>
        <v>435.13369976087824</v>
      </c>
      <c r="V35" s="75">
        <f>U35*25%</f>
        <v>108.78342494021956</v>
      </c>
      <c r="W35" s="42">
        <v>544</v>
      </c>
      <c r="X35" s="71">
        <v>522.2501506751239</v>
      </c>
      <c r="Y35" s="60">
        <f t="shared" si="4"/>
        <v>1.0416464203921427</v>
      </c>
      <c r="Z35" s="60">
        <f t="shared" si="10"/>
        <v>4.1646420392142725E-2</v>
      </c>
      <c r="AA35" s="14"/>
    </row>
    <row r="36" spans="1:27" ht="15" customHeight="1" x14ac:dyDescent="0.2">
      <c r="A36" s="36" t="s">
        <v>387</v>
      </c>
      <c r="B36" s="27" t="s">
        <v>116</v>
      </c>
      <c r="C36" s="21">
        <v>942048</v>
      </c>
      <c r="D36" s="7">
        <v>1925</v>
      </c>
      <c r="E36" s="7">
        <v>20</v>
      </c>
      <c r="F36" s="8">
        <f t="shared" si="16"/>
        <v>163.12519480519481</v>
      </c>
      <c r="G36" s="33">
        <v>471732</v>
      </c>
      <c r="H36" s="7">
        <v>1925</v>
      </c>
      <c r="I36" s="7">
        <v>15</v>
      </c>
      <c r="J36" s="8">
        <f t="shared" si="17"/>
        <v>61.263896103896101</v>
      </c>
      <c r="K36" s="7">
        <v>155483</v>
      </c>
      <c r="L36" s="7">
        <v>846720</v>
      </c>
      <c r="M36" s="7">
        <v>30</v>
      </c>
      <c r="N36" s="75">
        <f t="shared" si="11"/>
        <v>5.5088931405895689</v>
      </c>
      <c r="O36" s="75">
        <f t="shared" si="18"/>
        <v>229.89798404968047</v>
      </c>
      <c r="P36" s="75">
        <f t="shared" si="19"/>
        <v>69.429191183003496</v>
      </c>
      <c r="Q36" s="68">
        <f t="shared" si="20"/>
        <v>234.4959437306741</v>
      </c>
      <c r="R36" s="55">
        <f>17.02</f>
        <v>17.02</v>
      </c>
      <c r="S36" s="55">
        <v>17.02</v>
      </c>
      <c r="T36" s="78">
        <f t="shared" si="7"/>
        <v>17.02</v>
      </c>
      <c r="U36" s="9">
        <f t="shared" si="8"/>
        <v>556.35201210394757</v>
      </c>
      <c r="V36" s="75">
        <f>U36*25%</f>
        <v>139.08800302598689</v>
      </c>
      <c r="W36" s="42">
        <v>695</v>
      </c>
      <c r="X36" s="71">
        <v>656.83540811694752</v>
      </c>
      <c r="Y36" s="60">
        <f t="shared" si="4"/>
        <v>1.0581037371180473</v>
      </c>
      <c r="Z36" s="60">
        <f t="shared" si="10"/>
        <v>5.8103737118047283E-2</v>
      </c>
      <c r="AA36" s="14"/>
    </row>
    <row r="37" spans="1:27" ht="15" customHeight="1" x14ac:dyDescent="0.2">
      <c r="A37" s="36" t="s">
        <v>388</v>
      </c>
      <c r="B37" s="27" t="s">
        <v>330</v>
      </c>
      <c r="C37" s="21">
        <v>942048</v>
      </c>
      <c r="D37" s="7">
        <v>1925</v>
      </c>
      <c r="E37" s="7">
        <v>12</v>
      </c>
      <c r="F37" s="8">
        <f t="shared" si="16"/>
        <v>97.875116883116874</v>
      </c>
      <c r="G37" s="33">
        <v>471732</v>
      </c>
      <c r="H37" s="7">
        <v>1925</v>
      </c>
      <c r="I37" s="7">
        <v>1</v>
      </c>
      <c r="J37" s="8">
        <f t="shared" si="17"/>
        <v>4.08425974025974</v>
      </c>
      <c r="K37" s="7">
        <v>3600000</v>
      </c>
      <c r="L37" s="7">
        <v>846720</v>
      </c>
      <c r="M37" s="7">
        <v>5</v>
      </c>
      <c r="N37" s="75">
        <f t="shared" si="11"/>
        <v>21.258503401360542</v>
      </c>
      <c r="O37" s="75">
        <f t="shared" si="18"/>
        <v>123.21788002473716</v>
      </c>
      <c r="P37" s="75">
        <f t="shared" si="19"/>
        <v>37.211799767470623</v>
      </c>
      <c r="Q37" s="68">
        <f t="shared" si="20"/>
        <v>125.68223762523191</v>
      </c>
      <c r="R37" s="55">
        <f>3.16</f>
        <v>3.16</v>
      </c>
      <c r="S37" s="55">
        <v>3.16</v>
      </c>
      <c r="T37" s="78">
        <f t="shared" si="7"/>
        <v>3.16</v>
      </c>
      <c r="U37" s="9">
        <f t="shared" si="8"/>
        <v>310.53042081880022</v>
      </c>
      <c r="V37" s="75">
        <f>U37*25%</f>
        <v>77.632605204700056</v>
      </c>
      <c r="W37" s="42">
        <v>388</v>
      </c>
      <c r="X37" s="71">
        <v>382.09235303648734</v>
      </c>
      <c r="Y37" s="60">
        <f t="shared" si="4"/>
        <v>1.0154613064526536</v>
      </c>
      <c r="Z37" s="60">
        <f t="shared" si="10"/>
        <v>1.5461306452653645E-2</v>
      </c>
      <c r="AA37" s="14"/>
    </row>
    <row r="38" spans="1:27" ht="15" customHeight="1" x14ac:dyDescent="0.2">
      <c r="A38" s="36" t="s">
        <v>389</v>
      </c>
      <c r="B38" s="27" t="s">
        <v>331</v>
      </c>
      <c r="C38" s="21">
        <v>942048</v>
      </c>
      <c r="D38" s="7">
        <v>1925</v>
      </c>
      <c r="E38" s="7">
        <v>14</v>
      </c>
      <c r="F38" s="8">
        <f t="shared" si="16"/>
        <v>114.18763636363636</v>
      </c>
      <c r="G38" s="33">
        <v>471732</v>
      </c>
      <c r="H38" s="7">
        <v>1925</v>
      </c>
      <c r="I38" s="7">
        <v>1</v>
      </c>
      <c r="J38" s="8">
        <f t="shared" si="17"/>
        <v>4.08425974025974</v>
      </c>
      <c r="K38" s="7">
        <v>3600000</v>
      </c>
      <c r="L38" s="7">
        <v>846720</v>
      </c>
      <c r="M38" s="7">
        <v>20</v>
      </c>
      <c r="N38" s="75">
        <f t="shared" si="11"/>
        <v>85.034013605442169</v>
      </c>
      <c r="O38" s="75">
        <f t="shared" si="18"/>
        <v>203.30590970933827</v>
      </c>
      <c r="P38" s="75">
        <f t="shared" si="19"/>
        <v>61.398384732220151</v>
      </c>
      <c r="Q38" s="68">
        <f t="shared" si="20"/>
        <v>207.37202790352504</v>
      </c>
      <c r="R38" s="55">
        <f>3.16</f>
        <v>3.16</v>
      </c>
      <c r="S38" s="55">
        <v>3.16</v>
      </c>
      <c r="T38" s="78">
        <f t="shared" si="7"/>
        <v>3.16</v>
      </c>
      <c r="U38" s="9">
        <f t="shared" si="8"/>
        <v>560.27033595052558</v>
      </c>
      <c r="V38" s="75">
        <f>U38*25%</f>
        <v>140.06758398763139</v>
      </c>
      <c r="W38" s="42">
        <v>700</v>
      </c>
      <c r="X38" s="71">
        <v>688.4435503277673</v>
      </c>
      <c r="Y38" s="60">
        <f t="shared" si="4"/>
        <v>1.0167863431456809</v>
      </c>
      <c r="Z38" s="60">
        <f t="shared" si="10"/>
        <v>1.6786343145680949E-2</v>
      </c>
      <c r="AA38" s="14"/>
    </row>
    <row r="39" spans="1:27" ht="15" customHeight="1" x14ac:dyDescent="0.2">
      <c r="A39" s="36" t="s">
        <v>390</v>
      </c>
      <c r="B39" s="27" t="s">
        <v>81</v>
      </c>
      <c r="C39" s="21">
        <v>942048</v>
      </c>
      <c r="D39" s="7">
        <v>1500</v>
      </c>
      <c r="E39" s="7">
        <v>15</v>
      </c>
      <c r="F39" s="8">
        <f t="shared" si="16"/>
        <v>157.00800000000001</v>
      </c>
      <c r="G39" s="33">
        <v>471732</v>
      </c>
      <c r="H39" s="7">
        <v>1925</v>
      </c>
      <c r="I39" s="7">
        <v>16</v>
      </c>
      <c r="J39" s="8">
        <f t="shared" si="17"/>
        <v>65.348155844155841</v>
      </c>
      <c r="K39" s="7">
        <v>330165</v>
      </c>
      <c r="L39" s="7">
        <v>846720</v>
      </c>
      <c r="M39" s="7">
        <v>25</v>
      </c>
      <c r="N39" s="75">
        <f t="shared" si="11"/>
        <v>9.7483524659863949</v>
      </c>
      <c r="O39" s="75">
        <f t="shared" si="18"/>
        <v>232.10450831014225</v>
      </c>
      <c r="P39" s="75">
        <f t="shared" si="19"/>
        <v>70.095561509662957</v>
      </c>
      <c r="Q39" s="68">
        <f t="shared" si="20"/>
        <v>236.7465984763451</v>
      </c>
      <c r="R39" s="55">
        <f>17.02+0.57*6</f>
        <v>20.439999999999998</v>
      </c>
      <c r="S39" s="55">
        <v>20.439999999999998</v>
      </c>
      <c r="T39" s="78">
        <f t="shared" si="7"/>
        <v>20.439999999999998</v>
      </c>
      <c r="U39" s="9">
        <f t="shared" si="8"/>
        <v>569.13502076213672</v>
      </c>
      <c r="V39" s="75">
        <f t="shared" si="9"/>
        <v>142.28375519053418</v>
      </c>
      <c r="W39" s="42">
        <v>711</v>
      </c>
      <c r="X39" s="71">
        <v>692.59167829033322</v>
      </c>
      <c r="Y39" s="60">
        <f t="shared" si="4"/>
        <v>1.0265788953097268</v>
      </c>
      <c r="Z39" s="60">
        <f t="shared" si="10"/>
        <v>2.6578895309726791E-2</v>
      </c>
      <c r="AA39" s="14"/>
    </row>
    <row r="40" spans="1:27" ht="15" customHeight="1" x14ac:dyDescent="0.2">
      <c r="A40" s="36" t="s">
        <v>391</v>
      </c>
      <c r="B40" s="27" t="s">
        <v>44</v>
      </c>
      <c r="C40" s="21">
        <v>942048</v>
      </c>
      <c r="D40" s="7">
        <v>1500</v>
      </c>
      <c r="E40" s="7">
        <v>15</v>
      </c>
      <c r="F40" s="8">
        <f t="shared" si="16"/>
        <v>157.00800000000001</v>
      </c>
      <c r="G40" s="33">
        <v>471732</v>
      </c>
      <c r="H40" s="7">
        <v>1925</v>
      </c>
      <c r="I40" s="7">
        <v>14</v>
      </c>
      <c r="J40" s="8">
        <f t="shared" si="17"/>
        <v>57.179636363636362</v>
      </c>
      <c r="K40" s="7">
        <v>330165</v>
      </c>
      <c r="L40" s="7">
        <v>846720</v>
      </c>
      <c r="M40" s="7">
        <v>15</v>
      </c>
      <c r="N40" s="75">
        <f t="shared" si="11"/>
        <v>5.8490114795918364</v>
      </c>
      <c r="O40" s="75">
        <f t="shared" si="18"/>
        <v>220.03664784322822</v>
      </c>
      <c r="P40" s="75">
        <f t="shared" si="19"/>
        <v>66.451067648654927</v>
      </c>
      <c r="Q40" s="68">
        <f t="shared" si="20"/>
        <v>224.4373808000928</v>
      </c>
      <c r="R40" s="55">
        <f>17.02+0.57*6</f>
        <v>20.439999999999998</v>
      </c>
      <c r="S40" s="55">
        <v>20.439999999999998</v>
      </c>
      <c r="T40" s="78">
        <f t="shared" si="7"/>
        <v>20.439999999999998</v>
      </c>
      <c r="U40" s="9">
        <f t="shared" si="8"/>
        <v>537.2141077715678</v>
      </c>
      <c r="V40" s="75">
        <f t="shared" si="9"/>
        <v>134.30352694289195</v>
      </c>
      <c r="W40" s="42">
        <v>672</v>
      </c>
      <c r="X40" s="71">
        <v>632.61456525991412</v>
      </c>
      <c r="Y40" s="60">
        <f t="shared" si="4"/>
        <v>1.0622581851619304</v>
      </c>
      <c r="Z40" s="60">
        <f t="shared" si="10"/>
        <v>6.2258185161930379E-2</v>
      </c>
      <c r="AA40" s="14"/>
    </row>
    <row r="41" spans="1:27" ht="15" customHeight="1" x14ac:dyDescent="0.2">
      <c r="A41" s="36" t="s">
        <v>392</v>
      </c>
      <c r="B41" s="27" t="s">
        <v>82</v>
      </c>
      <c r="C41" s="21">
        <v>942048</v>
      </c>
      <c r="D41" s="7">
        <v>1500</v>
      </c>
      <c r="E41" s="7">
        <v>15</v>
      </c>
      <c r="F41" s="8">
        <f t="shared" si="16"/>
        <v>157.00800000000001</v>
      </c>
      <c r="G41" s="33">
        <v>471732</v>
      </c>
      <c r="H41" s="7">
        <v>1925</v>
      </c>
      <c r="I41" s="7">
        <v>9</v>
      </c>
      <c r="J41" s="8">
        <f t="shared" si="17"/>
        <v>36.758337662337659</v>
      </c>
      <c r="K41" s="7">
        <v>330165</v>
      </c>
      <c r="L41" s="7">
        <v>846720</v>
      </c>
      <c r="M41" s="7">
        <v>10</v>
      </c>
      <c r="N41" s="75">
        <f t="shared" si="11"/>
        <v>3.8993409863945576</v>
      </c>
      <c r="O41" s="75">
        <f t="shared" si="18"/>
        <v>197.66567864873221</v>
      </c>
      <c r="P41" s="75">
        <f t="shared" si="19"/>
        <v>59.695034951917123</v>
      </c>
      <c r="Q41" s="68">
        <f t="shared" si="20"/>
        <v>201.61899222170686</v>
      </c>
      <c r="R41" s="55">
        <f>17.02+0.57*6</f>
        <v>20.439999999999998</v>
      </c>
      <c r="S41" s="55">
        <v>20.439999999999998</v>
      </c>
      <c r="T41" s="78">
        <f t="shared" si="7"/>
        <v>20.439999999999998</v>
      </c>
      <c r="U41" s="9">
        <f t="shared" si="8"/>
        <v>483.31904680875078</v>
      </c>
      <c r="V41" s="75">
        <f t="shared" si="9"/>
        <v>120.8297617021877</v>
      </c>
      <c r="W41" s="42">
        <v>604</v>
      </c>
      <c r="X41" s="71">
        <v>572.61431957587342</v>
      </c>
      <c r="Y41" s="60">
        <f t="shared" si="4"/>
        <v>1.0548112042454221</v>
      </c>
      <c r="Z41" s="60">
        <f t="shared" si="10"/>
        <v>5.4811204245422074E-2</v>
      </c>
      <c r="AA41" s="14"/>
    </row>
    <row r="42" spans="1:27" ht="15" customHeight="1" x14ac:dyDescent="0.2">
      <c r="A42" s="36" t="s">
        <v>393</v>
      </c>
      <c r="B42" s="27" t="s">
        <v>83</v>
      </c>
      <c r="C42" s="21">
        <v>942048</v>
      </c>
      <c r="D42" s="7">
        <v>1500</v>
      </c>
      <c r="E42" s="7">
        <v>15</v>
      </c>
      <c r="F42" s="8">
        <f t="shared" si="16"/>
        <v>157.00800000000001</v>
      </c>
      <c r="G42" s="33">
        <v>471732</v>
      </c>
      <c r="H42" s="7">
        <v>1925</v>
      </c>
      <c r="I42" s="7">
        <v>9</v>
      </c>
      <c r="J42" s="8">
        <f>G42/H42/60*I42</f>
        <v>36.758337662337659</v>
      </c>
      <c r="K42" s="7">
        <v>205000</v>
      </c>
      <c r="L42" s="7">
        <v>846720</v>
      </c>
      <c r="M42" s="7">
        <v>15</v>
      </c>
      <c r="N42" s="75">
        <f t="shared" si="11"/>
        <v>3.6316609977324261</v>
      </c>
      <c r="O42" s="75">
        <f t="shared" si="18"/>
        <v>197.3979986600701</v>
      </c>
      <c r="P42" s="75">
        <f t="shared" si="19"/>
        <v>59.614195595341165</v>
      </c>
      <c r="Q42" s="68">
        <f t="shared" si="20"/>
        <v>201.34595863327149</v>
      </c>
      <c r="R42" s="55">
        <f>17.02+0.57*6</f>
        <v>20.439999999999998</v>
      </c>
      <c r="S42" s="55">
        <v>20.439999999999998</v>
      </c>
      <c r="T42" s="78">
        <f t="shared" si="7"/>
        <v>20.439999999999998</v>
      </c>
      <c r="U42" s="9">
        <f t="shared" si="8"/>
        <v>482.42981388641522</v>
      </c>
      <c r="V42" s="75">
        <f t="shared" si="9"/>
        <v>120.6074534716038</v>
      </c>
      <c r="W42" s="42">
        <v>603</v>
      </c>
      <c r="X42" s="71">
        <v>571.50277842295407</v>
      </c>
      <c r="Y42" s="60">
        <f t="shared" si="4"/>
        <v>1.0551129806646988</v>
      </c>
      <c r="Z42" s="60">
        <f t="shared" si="10"/>
        <v>5.511298066469883E-2</v>
      </c>
      <c r="AA42" s="14"/>
    </row>
    <row r="43" spans="1:27" ht="15" customHeight="1" x14ac:dyDescent="0.2">
      <c r="A43" s="36" t="s">
        <v>394</v>
      </c>
      <c r="B43" s="27" t="s">
        <v>117</v>
      </c>
      <c r="C43" s="21">
        <v>942048</v>
      </c>
      <c r="D43" s="7">
        <v>1500</v>
      </c>
      <c r="E43" s="7">
        <v>20</v>
      </c>
      <c r="F43" s="8">
        <f t="shared" si="16"/>
        <v>209.34399999999999</v>
      </c>
      <c r="G43" s="33">
        <v>471732</v>
      </c>
      <c r="H43" s="7">
        <v>1925</v>
      </c>
      <c r="I43" s="7">
        <v>15</v>
      </c>
      <c r="J43" s="8">
        <f t="shared" si="17"/>
        <v>61.263896103896101</v>
      </c>
      <c r="K43" s="7">
        <v>205000</v>
      </c>
      <c r="L43" s="7">
        <v>846720</v>
      </c>
      <c r="M43" s="7">
        <v>30</v>
      </c>
      <c r="N43" s="75">
        <f t="shared" si="11"/>
        <v>7.2633219954648522</v>
      </c>
      <c r="O43" s="75">
        <f t="shared" si="18"/>
        <v>277.87121809936099</v>
      </c>
      <c r="P43" s="75">
        <f t="shared" si="19"/>
        <v>83.917107866007015</v>
      </c>
      <c r="Q43" s="68">
        <f t="shared" si="20"/>
        <v>283.4286424613482</v>
      </c>
      <c r="R43" s="55">
        <f>17.02</f>
        <v>17.02</v>
      </c>
      <c r="S43" s="55">
        <v>17.02</v>
      </c>
      <c r="T43" s="78">
        <f t="shared" si="7"/>
        <v>17.02</v>
      </c>
      <c r="U43" s="9">
        <f t="shared" si="8"/>
        <v>669.50029042218102</v>
      </c>
      <c r="V43" s="75">
        <f t="shared" si="9"/>
        <v>167.37507260554526</v>
      </c>
      <c r="W43" s="42">
        <v>837</v>
      </c>
      <c r="X43" s="71">
        <v>834.6380004303237</v>
      </c>
      <c r="Y43" s="60">
        <f t="shared" si="4"/>
        <v>1.0028299688828672</v>
      </c>
      <c r="Z43" s="60">
        <f t="shared" si="10"/>
        <v>2.8299688828672398E-3</v>
      </c>
      <c r="AA43" s="14"/>
    </row>
    <row r="44" spans="1:27" ht="15" customHeight="1" x14ac:dyDescent="0.2">
      <c r="A44" s="36" t="s">
        <v>395</v>
      </c>
      <c r="B44" s="27" t="s">
        <v>332</v>
      </c>
      <c r="C44" s="21">
        <v>942048</v>
      </c>
      <c r="D44" s="7">
        <v>1500</v>
      </c>
      <c r="E44" s="7">
        <v>25</v>
      </c>
      <c r="F44" s="8">
        <f t="shared" si="16"/>
        <v>261.68</v>
      </c>
      <c r="G44" s="33">
        <v>471732</v>
      </c>
      <c r="H44" s="7">
        <v>1925</v>
      </c>
      <c r="I44" s="7">
        <v>5</v>
      </c>
      <c r="J44" s="8">
        <f>G44/H44/60*I44</f>
        <v>20.421298701298699</v>
      </c>
      <c r="K44" s="7">
        <v>2100000</v>
      </c>
      <c r="L44" s="7">
        <v>846720</v>
      </c>
      <c r="M44" s="7">
        <v>15</v>
      </c>
      <c r="N44" s="75">
        <f>K44/L44*M44</f>
        <v>37.202380952380956</v>
      </c>
      <c r="O44" s="75">
        <f>F44+J44+N44</f>
        <v>319.30367965367969</v>
      </c>
      <c r="P44" s="75">
        <f>O44*0.302</f>
        <v>96.429711255411263</v>
      </c>
      <c r="Q44" s="68">
        <f t="shared" si="20"/>
        <v>325.6897532467533</v>
      </c>
      <c r="R44" s="55">
        <f>17.02</f>
        <v>17.02</v>
      </c>
      <c r="S44" s="55">
        <v>17.02</v>
      </c>
      <c r="T44" s="78">
        <f t="shared" si="7"/>
        <v>17.02</v>
      </c>
      <c r="U44" s="9">
        <f t="shared" si="8"/>
        <v>795.64552510822523</v>
      </c>
      <c r="V44" s="75">
        <f>U44*25%</f>
        <v>198.91138127705631</v>
      </c>
      <c r="W44" s="42">
        <v>995</v>
      </c>
      <c r="X44" s="71">
        <v>970.26848482683988</v>
      </c>
      <c r="Y44" s="60">
        <f t="shared" si="4"/>
        <v>1.0254893522359163</v>
      </c>
      <c r="Z44" s="60">
        <f t="shared" si="10"/>
        <v>2.5489352235916307E-2</v>
      </c>
      <c r="AA44" s="14"/>
    </row>
    <row r="45" spans="1:27" ht="15" customHeight="1" x14ac:dyDescent="0.2">
      <c r="A45" s="36" t="s">
        <v>396</v>
      </c>
      <c r="B45" s="27" t="s">
        <v>84</v>
      </c>
      <c r="C45" s="21">
        <v>942048</v>
      </c>
      <c r="D45" s="7">
        <v>1500</v>
      </c>
      <c r="E45" s="7">
        <v>30</v>
      </c>
      <c r="F45" s="8">
        <f t="shared" si="16"/>
        <v>314.01600000000002</v>
      </c>
      <c r="G45" s="33">
        <v>471732</v>
      </c>
      <c r="H45" s="7">
        <v>1925</v>
      </c>
      <c r="I45" s="7">
        <v>30</v>
      </c>
      <c r="J45" s="8">
        <f t="shared" si="17"/>
        <v>122.5277922077922</v>
      </c>
      <c r="K45" s="7">
        <v>687340.56</v>
      </c>
      <c r="L45" s="7">
        <v>846720</v>
      </c>
      <c r="M45" s="7">
        <v>30</v>
      </c>
      <c r="N45" s="75">
        <f t="shared" si="11"/>
        <v>24.353052721088439</v>
      </c>
      <c r="O45" s="75">
        <f t="shared" si="18"/>
        <v>460.89684492888063</v>
      </c>
      <c r="P45" s="75">
        <f t="shared" si="19"/>
        <v>139.19084716852194</v>
      </c>
      <c r="Q45" s="68">
        <f t="shared" si="20"/>
        <v>470.11478182745827</v>
      </c>
      <c r="R45" s="55">
        <f>1.99*17</f>
        <v>33.83</v>
      </c>
      <c r="S45" s="55">
        <v>33.83</v>
      </c>
      <c r="T45" s="78">
        <f t="shared" si="7"/>
        <v>33.83</v>
      </c>
      <c r="U45" s="9">
        <f t="shared" si="8"/>
        <v>1128.3855266459491</v>
      </c>
      <c r="V45" s="75">
        <f t="shared" ref="V45:V51" si="21">U45*25%</f>
        <v>282.09638166148727</v>
      </c>
      <c r="W45" s="42">
        <v>1410</v>
      </c>
      <c r="X45" s="71">
        <v>1375.7751451905533</v>
      </c>
      <c r="Y45" s="60">
        <f t="shared" si="4"/>
        <v>1.0248767794134748</v>
      </c>
      <c r="Z45" s="60">
        <f t="shared" si="10"/>
        <v>2.487677941347477E-2</v>
      </c>
      <c r="AA45" s="14"/>
    </row>
    <row r="46" spans="1:27" ht="15" customHeight="1" x14ac:dyDescent="0.2">
      <c r="A46" s="36" t="s">
        <v>397</v>
      </c>
      <c r="B46" s="27" t="s">
        <v>85</v>
      </c>
      <c r="C46" s="21">
        <v>942048</v>
      </c>
      <c r="D46" s="7">
        <v>1500</v>
      </c>
      <c r="E46" s="7">
        <v>13</v>
      </c>
      <c r="F46" s="8">
        <f t="shared" si="16"/>
        <v>136.0736</v>
      </c>
      <c r="G46" s="33">
        <v>471732</v>
      </c>
      <c r="H46" s="7">
        <v>1925</v>
      </c>
      <c r="I46" s="7">
        <v>15</v>
      </c>
      <c r="J46" s="8">
        <f t="shared" si="17"/>
        <v>61.263896103896101</v>
      </c>
      <c r="K46" s="7">
        <v>1026364</v>
      </c>
      <c r="L46" s="7">
        <v>846720</v>
      </c>
      <c r="M46" s="7">
        <v>15</v>
      </c>
      <c r="N46" s="75">
        <f t="shared" si="11"/>
        <v>18.182468820861679</v>
      </c>
      <c r="O46" s="75">
        <f t="shared" si="18"/>
        <v>215.5199649247578</v>
      </c>
      <c r="P46" s="75">
        <f t="shared" si="19"/>
        <v>65.087029407276859</v>
      </c>
      <c r="Q46" s="68">
        <f t="shared" si="20"/>
        <v>219.83036422325296</v>
      </c>
      <c r="R46" s="55">
        <f>17.02+1.99*20+0.27*2</f>
        <v>57.359999999999992</v>
      </c>
      <c r="S46" s="55">
        <v>57.359999999999992</v>
      </c>
      <c r="T46" s="78">
        <f t="shared" si="7"/>
        <v>57.359999999999992</v>
      </c>
      <c r="U46" s="9">
        <f t="shared" si="8"/>
        <v>575.97982737614927</v>
      </c>
      <c r="V46" s="75">
        <f t="shared" si="21"/>
        <v>143.99495684403732</v>
      </c>
      <c r="W46" s="42">
        <v>720</v>
      </c>
      <c r="X46" s="71">
        <v>694.31328666174511</v>
      </c>
      <c r="Y46" s="60">
        <f t="shared" si="4"/>
        <v>1.0369958545108022</v>
      </c>
      <c r="Z46" s="60">
        <f t="shared" si="10"/>
        <v>3.6995854510802229E-2</v>
      </c>
      <c r="AA46" s="14"/>
    </row>
    <row r="47" spans="1:27" ht="15" customHeight="1" x14ac:dyDescent="0.2">
      <c r="A47" s="36" t="s">
        <v>398</v>
      </c>
      <c r="B47" s="27" t="s">
        <v>86</v>
      </c>
      <c r="C47" s="21">
        <v>942048</v>
      </c>
      <c r="D47" s="7">
        <v>1500</v>
      </c>
      <c r="E47" s="7">
        <v>20</v>
      </c>
      <c r="F47" s="8">
        <f t="shared" si="16"/>
        <v>209.34399999999999</v>
      </c>
      <c r="G47" s="33">
        <v>471732</v>
      </c>
      <c r="H47" s="7">
        <v>1925</v>
      </c>
      <c r="I47" s="7">
        <v>17</v>
      </c>
      <c r="J47" s="8">
        <f t="shared" si="17"/>
        <v>69.43241558441558</v>
      </c>
      <c r="K47" s="7">
        <v>1026364</v>
      </c>
      <c r="L47" s="7">
        <v>846720</v>
      </c>
      <c r="M47" s="7">
        <v>20</v>
      </c>
      <c r="N47" s="75">
        <f t="shared" si="11"/>
        <v>24.243291761148903</v>
      </c>
      <c r="O47" s="75">
        <f t="shared" si="18"/>
        <v>303.01970734556448</v>
      </c>
      <c r="P47" s="75">
        <f t="shared" si="19"/>
        <v>91.51195161836047</v>
      </c>
      <c r="Q47" s="68">
        <f t="shared" si="20"/>
        <v>309.08010149247576</v>
      </c>
      <c r="R47" s="55">
        <f>17.02+1.99*20+0.27*3</f>
        <v>57.629999999999995</v>
      </c>
      <c r="S47" s="55">
        <v>57.629999999999995</v>
      </c>
      <c r="T47" s="78">
        <f t="shared" si="7"/>
        <v>57.629999999999995</v>
      </c>
      <c r="U47" s="9">
        <f t="shared" si="8"/>
        <v>785.48505221754965</v>
      </c>
      <c r="V47" s="75">
        <f t="shared" si="21"/>
        <v>196.37126305438741</v>
      </c>
      <c r="W47" s="42">
        <v>982</v>
      </c>
      <c r="X47" s="71">
        <v>966.29067267453433</v>
      </c>
      <c r="Y47" s="60">
        <f t="shared" si="4"/>
        <v>1.0162573517159021</v>
      </c>
      <c r="Z47" s="60">
        <f t="shared" si="10"/>
        <v>1.6257351715902146E-2</v>
      </c>
      <c r="AA47" s="14"/>
    </row>
    <row r="48" spans="1:27" ht="15" customHeight="1" x14ac:dyDescent="0.2">
      <c r="A48" s="36" t="s">
        <v>399</v>
      </c>
      <c r="B48" s="27" t="s">
        <v>343</v>
      </c>
      <c r="C48" s="21">
        <v>942048</v>
      </c>
      <c r="D48" s="7">
        <v>1650</v>
      </c>
      <c r="E48" s="7">
        <v>17</v>
      </c>
      <c r="F48" s="8">
        <f t="shared" si="16"/>
        <v>161.76581818181819</v>
      </c>
      <c r="G48" s="33">
        <v>471732</v>
      </c>
      <c r="H48" s="7">
        <v>1925</v>
      </c>
      <c r="I48" s="7">
        <v>20</v>
      </c>
      <c r="J48" s="8">
        <f t="shared" si="17"/>
        <v>81.685194805194797</v>
      </c>
      <c r="K48" s="7">
        <v>0</v>
      </c>
      <c r="L48" s="7">
        <v>1</v>
      </c>
      <c r="M48" s="7">
        <v>0</v>
      </c>
      <c r="N48" s="75">
        <f t="shared" si="11"/>
        <v>0</v>
      </c>
      <c r="O48" s="75">
        <f t="shared" si="18"/>
        <v>243.45101298701297</v>
      </c>
      <c r="P48" s="75">
        <f t="shared" si="19"/>
        <v>73.522205922077916</v>
      </c>
      <c r="Q48" s="68">
        <f t="shared" si="20"/>
        <v>248.32003324675324</v>
      </c>
      <c r="R48" s="55">
        <f>2.2+3.8+1.94+10.2+0.6*3</f>
        <v>19.940000000000001</v>
      </c>
      <c r="S48" s="55">
        <v>19.940000000000001</v>
      </c>
      <c r="T48" s="78">
        <f t="shared" si="7"/>
        <v>19.940000000000001</v>
      </c>
      <c r="U48" s="9">
        <f t="shared" si="8"/>
        <v>585.23325215584418</v>
      </c>
      <c r="V48" s="75">
        <f t="shared" si="21"/>
        <v>146.30831303896105</v>
      </c>
      <c r="W48" s="42">
        <v>732</v>
      </c>
      <c r="X48" s="71">
        <v>693.01003584415582</v>
      </c>
      <c r="Y48" s="60">
        <f t="shared" si="4"/>
        <v>1.0562617597714159</v>
      </c>
      <c r="Z48" s="60">
        <f t="shared" si="10"/>
        <v>5.6261759771415898E-2</v>
      </c>
      <c r="AA48" s="14"/>
    </row>
    <row r="49" spans="1:33" ht="15" customHeight="1" x14ac:dyDescent="0.2">
      <c r="A49" s="36" t="s">
        <v>400</v>
      </c>
      <c r="B49" s="27" t="s">
        <v>118</v>
      </c>
      <c r="C49" s="21">
        <v>942048</v>
      </c>
      <c r="D49" s="7">
        <v>1650</v>
      </c>
      <c r="E49" s="7">
        <v>27</v>
      </c>
      <c r="F49" s="8">
        <f t="shared" si="16"/>
        <v>256.92218181818185</v>
      </c>
      <c r="G49" s="33">
        <v>471732</v>
      </c>
      <c r="H49" s="7">
        <v>1925</v>
      </c>
      <c r="I49" s="7">
        <v>20</v>
      </c>
      <c r="J49" s="8">
        <f t="shared" si="17"/>
        <v>81.685194805194797</v>
      </c>
      <c r="K49" s="7">
        <v>0</v>
      </c>
      <c r="L49" s="7">
        <v>1</v>
      </c>
      <c r="M49" s="7">
        <v>0</v>
      </c>
      <c r="N49" s="75">
        <f t="shared" si="11"/>
        <v>0</v>
      </c>
      <c r="O49" s="75">
        <f t="shared" si="18"/>
        <v>338.60737662337664</v>
      </c>
      <c r="P49" s="75">
        <f t="shared" si="19"/>
        <v>102.25942774025974</v>
      </c>
      <c r="Q49" s="68">
        <f t="shared" si="20"/>
        <v>345.37952415584419</v>
      </c>
      <c r="R49" s="55">
        <f>17.02</f>
        <v>17.02</v>
      </c>
      <c r="S49" s="55">
        <v>17.02</v>
      </c>
      <c r="T49" s="78">
        <f t="shared" si="7"/>
        <v>17.02</v>
      </c>
      <c r="U49" s="9">
        <f t="shared" si="8"/>
        <v>803.26632851948057</v>
      </c>
      <c r="V49" s="75">
        <f t="shared" si="21"/>
        <v>200.81658212987014</v>
      </c>
      <c r="W49" s="42">
        <v>1004</v>
      </c>
      <c r="X49" s="71">
        <v>961.45481038961043</v>
      </c>
      <c r="Y49" s="60">
        <f t="shared" si="4"/>
        <v>1.0442508468943528</v>
      </c>
      <c r="Z49" s="60">
        <f t="shared" si="10"/>
        <v>4.4250846894352769E-2</v>
      </c>
      <c r="AA49" s="14"/>
    </row>
    <row r="50" spans="1:33" ht="15" customHeight="1" x14ac:dyDescent="0.2">
      <c r="A50" s="36" t="s">
        <v>401</v>
      </c>
      <c r="B50" s="27" t="s">
        <v>119</v>
      </c>
      <c r="C50" s="21">
        <v>942048</v>
      </c>
      <c r="D50" s="7">
        <v>1650</v>
      </c>
      <c r="E50" s="7">
        <v>23</v>
      </c>
      <c r="F50" s="8">
        <f t="shared" si="16"/>
        <v>218.85963636363638</v>
      </c>
      <c r="G50" s="33">
        <v>471732</v>
      </c>
      <c r="H50" s="7">
        <v>1925</v>
      </c>
      <c r="I50" s="7">
        <v>8</v>
      </c>
      <c r="J50" s="8">
        <f t="shared" si="17"/>
        <v>32.67407792207792</v>
      </c>
      <c r="K50" s="7">
        <v>0</v>
      </c>
      <c r="L50" s="7">
        <v>1</v>
      </c>
      <c r="M50" s="7">
        <v>0</v>
      </c>
      <c r="N50" s="75">
        <f t="shared" si="11"/>
        <v>0</v>
      </c>
      <c r="O50" s="75">
        <f t="shared" si="18"/>
        <v>251.5337142857143</v>
      </c>
      <c r="P50" s="75">
        <f t="shared" si="19"/>
        <v>75.96318171428571</v>
      </c>
      <c r="Q50" s="68">
        <f t="shared" si="20"/>
        <v>256.56438857142859</v>
      </c>
      <c r="R50" s="55">
        <f>17.02</f>
        <v>17.02</v>
      </c>
      <c r="S50" s="55">
        <v>17.02</v>
      </c>
      <c r="T50" s="78">
        <f t="shared" si="7"/>
        <v>17.02</v>
      </c>
      <c r="U50" s="9">
        <f t="shared" si="8"/>
        <v>601.08128457142857</v>
      </c>
      <c r="V50" s="75">
        <f t="shared" si="21"/>
        <v>150.27032114285714</v>
      </c>
      <c r="W50" s="42">
        <v>751</v>
      </c>
      <c r="X50" s="71">
        <v>732.23280051948052</v>
      </c>
      <c r="Y50" s="60">
        <f t="shared" si="4"/>
        <v>1.0256300994263097</v>
      </c>
      <c r="Z50" s="60">
        <f t="shared" si="10"/>
        <v>2.5630099426309672E-2</v>
      </c>
      <c r="AA50" s="14"/>
    </row>
    <row r="51" spans="1:33" ht="15" customHeight="1" x14ac:dyDescent="0.2">
      <c r="A51" s="36" t="s">
        <v>402</v>
      </c>
      <c r="B51" s="27" t="s">
        <v>120</v>
      </c>
      <c r="C51" s="21">
        <v>942048</v>
      </c>
      <c r="D51" s="7">
        <v>1650</v>
      </c>
      <c r="E51" s="7">
        <v>11</v>
      </c>
      <c r="F51" s="8">
        <f t="shared" si="16"/>
        <v>104.67200000000001</v>
      </c>
      <c r="G51" s="33">
        <v>471732</v>
      </c>
      <c r="H51" s="7">
        <v>1925</v>
      </c>
      <c r="I51" s="7">
        <v>11</v>
      </c>
      <c r="J51" s="8">
        <f t="shared" si="17"/>
        <v>44.926857142857138</v>
      </c>
      <c r="K51" s="7">
        <v>80000</v>
      </c>
      <c r="L51" s="7">
        <v>846720</v>
      </c>
      <c r="M51" s="7">
        <v>15</v>
      </c>
      <c r="N51" s="75">
        <f t="shared" si="11"/>
        <v>1.4172335600907031</v>
      </c>
      <c r="O51" s="75">
        <f t="shared" si="18"/>
        <v>151.01609070294785</v>
      </c>
      <c r="P51" s="75">
        <f t="shared" si="19"/>
        <v>45.606859392290247</v>
      </c>
      <c r="Q51" s="68">
        <f t="shared" si="20"/>
        <v>154.0364125170068</v>
      </c>
      <c r="R51" s="55">
        <f>17.02+1.54*2+3.16</f>
        <v>23.26</v>
      </c>
      <c r="S51" s="55">
        <v>23.26</v>
      </c>
      <c r="T51" s="78">
        <f t="shared" si="7"/>
        <v>23.26</v>
      </c>
      <c r="U51" s="9">
        <f t="shared" si="8"/>
        <v>375.33659617233559</v>
      </c>
      <c r="V51" s="75">
        <f t="shared" si="21"/>
        <v>93.834149043083897</v>
      </c>
      <c r="W51" s="42">
        <v>469</v>
      </c>
      <c r="X51" s="71">
        <v>463.10489716347138</v>
      </c>
      <c r="Y51" s="60">
        <f t="shared" si="4"/>
        <v>1.0127295195378763</v>
      </c>
      <c r="Z51" s="60">
        <f t="shared" si="10"/>
        <v>1.2729519537876266E-2</v>
      </c>
      <c r="AA51" s="14"/>
    </row>
    <row r="52" spans="1:33" s="65" customFormat="1" ht="15" customHeight="1" x14ac:dyDescent="0.2">
      <c r="A52" s="36" t="s">
        <v>403</v>
      </c>
      <c r="B52" s="27" t="s">
        <v>6</v>
      </c>
      <c r="C52" s="7"/>
      <c r="D52" s="7"/>
      <c r="E52" s="7"/>
      <c r="F52" s="8"/>
      <c r="G52" s="33">
        <v>471732</v>
      </c>
      <c r="H52" s="7">
        <v>1925</v>
      </c>
      <c r="I52" s="7">
        <v>8</v>
      </c>
      <c r="J52" s="8">
        <f t="shared" si="17"/>
        <v>32.67407792207792</v>
      </c>
      <c r="K52" s="7">
        <v>0</v>
      </c>
      <c r="L52" s="7">
        <v>1</v>
      </c>
      <c r="M52" s="7">
        <v>0</v>
      </c>
      <c r="N52" s="75">
        <f t="shared" si="11"/>
        <v>0</v>
      </c>
      <c r="O52" s="75">
        <f t="shared" si="18"/>
        <v>32.67407792207792</v>
      </c>
      <c r="P52" s="75">
        <f t="shared" si="19"/>
        <v>9.8675715324675313</v>
      </c>
      <c r="Q52" s="68">
        <f t="shared" si="20"/>
        <v>33.327559480519483</v>
      </c>
      <c r="R52" s="55">
        <f>1.54*5+4.78+0.21*15+3.6+4.1+13.9+15.1225</f>
        <v>52.352499999999999</v>
      </c>
      <c r="S52" s="55">
        <v>52.352499999999999</v>
      </c>
      <c r="T52" s="78">
        <f t="shared" si="7"/>
        <v>52.352499999999999</v>
      </c>
      <c r="U52" s="9">
        <f t="shared" si="8"/>
        <v>128.22170893506492</v>
      </c>
      <c r="V52" s="75">
        <f t="shared" si="9"/>
        <v>32.055427233766231</v>
      </c>
      <c r="W52" s="42">
        <v>160</v>
      </c>
      <c r="X52" s="71">
        <v>148.48740733766235</v>
      </c>
      <c r="Y52" s="60">
        <f t="shared" si="4"/>
        <v>1.0775324511940454</v>
      </c>
      <c r="Z52" s="60">
        <f t="shared" si="10"/>
        <v>7.7532451194045393E-2</v>
      </c>
      <c r="AA52" s="14"/>
      <c r="AB52" s="47"/>
      <c r="AC52" s="16"/>
      <c r="AD52" s="5"/>
      <c r="AE52" s="5"/>
      <c r="AF52" s="5"/>
      <c r="AG52" s="5"/>
    </row>
    <row r="53" spans="1:33" s="65" customFormat="1" ht="15" customHeight="1" x14ac:dyDescent="0.2">
      <c r="A53" s="36" t="s">
        <v>404</v>
      </c>
      <c r="B53" s="27" t="s">
        <v>7</v>
      </c>
      <c r="C53" s="7"/>
      <c r="D53" s="7"/>
      <c r="E53" s="7"/>
      <c r="F53" s="8"/>
      <c r="G53" s="33">
        <v>471732</v>
      </c>
      <c r="H53" s="7">
        <v>1925</v>
      </c>
      <c r="I53" s="7">
        <v>6</v>
      </c>
      <c r="J53" s="8">
        <f t="shared" si="17"/>
        <v>24.505558441558442</v>
      </c>
      <c r="K53" s="7">
        <v>0</v>
      </c>
      <c r="L53" s="7">
        <v>1</v>
      </c>
      <c r="M53" s="7">
        <v>0</v>
      </c>
      <c r="N53" s="75">
        <f t="shared" si="11"/>
        <v>0</v>
      </c>
      <c r="O53" s="75">
        <f t="shared" si="18"/>
        <v>24.505558441558442</v>
      </c>
      <c r="P53" s="75">
        <f t="shared" si="19"/>
        <v>7.4006786493506489</v>
      </c>
      <c r="Q53" s="68">
        <f t="shared" si="20"/>
        <v>24.995669610389612</v>
      </c>
      <c r="R53" s="55">
        <f>3.6*2+1.54*5+0.21*6</f>
        <v>16.16</v>
      </c>
      <c r="S53" s="55">
        <v>16.16</v>
      </c>
      <c r="T53" s="78">
        <f t="shared" si="7"/>
        <v>16.16</v>
      </c>
      <c r="U53" s="9">
        <f t="shared" si="8"/>
        <v>73.061906701298696</v>
      </c>
      <c r="V53" s="75">
        <f t="shared" si="9"/>
        <v>18.265476675324674</v>
      </c>
      <c r="W53" s="42">
        <v>91</v>
      </c>
      <c r="X53" s="71">
        <v>82.485086753246748</v>
      </c>
      <c r="Y53" s="60">
        <f t="shared" si="4"/>
        <v>1.1032297301477723</v>
      </c>
      <c r="Z53" s="60">
        <f t="shared" si="10"/>
        <v>0.10322973014777226</v>
      </c>
      <c r="AA53" s="14"/>
      <c r="AB53" s="47"/>
      <c r="AC53" s="16"/>
      <c r="AD53" s="5"/>
      <c r="AE53" s="5"/>
      <c r="AF53" s="5"/>
      <c r="AG53" s="5"/>
    </row>
    <row r="54" spans="1:33" ht="15" customHeight="1" x14ac:dyDescent="0.2">
      <c r="A54" s="36" t="s">
        <v>405</v>
      </c>
      <c r="B54" s="27" t="s">
        <v>294</v>
      </c>
      <c r="C54" s="21">
        <v>942048</v>
      </c>
      <c r="D54" s="7">
        <v>1650</v>
      </c>
      <c r="E54" s="7">
        <v>14</v>
      </c>
      <c r="F54" s="8">
        <f>C54/D54/60*E54</f>
        <v>133.21890909090911</v>
      </c>
      <c r="G54" s="33">
        <v>471732</v>
      </c>
      <c r="H54" s="7">
        <v>1925</v>
      </c>
      <c r="I54" s="7">
        <v>6</v>
      </c>
      <c r="J54" s="8">
        <f t="shared" si="17"/>
        <v>24.505558441558442</v>
      </c>
      <c r="K54" s="7">
        <v>0</v>
      </c>
      <c r="L54" s="7">
        <v>1</v>
      </c>
      <c r="M54" s="7">
        <v>0</v>
      </c>
      <c r="N54" s="75">
        <f t="shared" si="11"/>
        <v>0</v>
      </c>
      <c r="O54" s="75">
        <f t="shared" si="18"/>
        <v>157.72446753246754</v>
      </c>
      <c r="P54" s="75">
        <f t="shared" si="19"/>
        <v>47.632789194805198</v>
      </c>
      <c r="Q54" s="68">
        <f t="shared" si="20"/>
        <v>160.8789568831169</v>
      </c>
      <c r="R54" s="55">
        <f>3.6*2+3.73+1.39*10*2+1.54*5+0.21*6+9.17</f>
        <v>56.86</v>
      </c>
      <c r="S54" s="55">
        <v>56.86</v>
      </c>
      <c r="T54" s="78">
        <f t="shared" si="7"/>
        <v>56.86</v>
      </c>
      <c r="U54" s="9">
        <f t="shared" si="8"/>
        <v>423.09621361038967</v>
      </c>
      <c r="V54" s="75">
        <f t="shared" si="9"/>
        <v>105.77405340259742</v>
      </c>
      <c r="W54" s="42">
        <v>529</v>
      </c>
      <c r="X54" s="71">
        <v>519.9815303896105</v>
      </c>
      <c r="Y54" s="60">
        <f t="shared" si="4"/>
        <v>1.0173438268156028</v>
      </c>
      <c r="Z54" s="60">
        <f t="shared" si="10"/>
        <v>1.7343826815602759E-2</v>
      </c>
      <c r="AA54" s="14"/>
    </row>
    <row r="55" spans="1:33" ht="15" customHeight="1" x14ac:dyDescent="0.2">
      <c r="A55" s="36" t="s">
        <v>406</v>
      </c>
      <c r="B55" s="27" t="s">
        <v>295</v>
      </c>
      <c r="C55" s="21">
        <v>942048</v>
      </c>
      <c r="D55" s="7">
        <v>1925</v>
      </c>
      <c r="E55" s="7">
        <v>5</v>
      </c>
      <c r="F55" s="8">
        <f>C55/D55/60*E55</f>
        <v>40.781298701298702</v>
      </c>
      <c r="G55" s="33">
        <v>471732</v>
      </c>
      <c r="H55" s="7">
        <v>1925</v>
      </c>
      <c r="I55" s="7">
        <v>5</v>
      </c>
      <c r="J55" s="8">
        <f t="shared" si="17"/>
        <v>20.421298701298699</v>
      </c>
      <c r="K55" s="7">
        <v>11000</v>
      </c>
      <c r="L55" s="7">
        <v>1209600</v>
      </c>
      <c r="M55" s="7">
        <v>10</v>
      </c>
      <c r="N55" s="75">
        <f t="shared" si="11"/>
        <v>9.0939153439153431E-2</v>
      </c>
      <c r="O55" s="75">
        <f t="shared" si="18"/>
        <v>61.293536556036557</v>
      </c>
      <c r="P55" s="75">
        <f t="shared" si="19"/>
        <v>18.510648039923041</v>
      </c>
      <c r="Q55" s="68">
        <f t="shared" si="20"/>
        <v>62.519407287157286</v>
      </c>
      <c r="R55" s="55">
        <f>17.02+1.54+3.16</f>
        <v>21.72</v>
      </c>
      <c r="S55" s="55">
        <v>21.72</v>
      </c>
      <c r="T55" s="78">
        <f t="shared" si="7"/>
        <v>21.72</v>
      </c>
      <c r="U55" s="9">
        <f t="shared" si="8"/>
        <v>164.13453103655604</v>
      </c>
      <c r="V55" s="75">
        <f t="shared" si="9"/>
        <v>41.03363275913901</v>
      </c>
      <c r="W55" s="42">
        <v>205</v>
      </c>
      <c r="X55" s="71">
        <v>205.01406743205865</v>
      </c>
      <c r="Y55" s="60">
        <f t="shared" si="4"/>
        <v>0.99993138308880525</v>
      </c>
      <c r="Z55" s="60">
        <f t="shared" si="10"/>
        <v>-6.8616911194752106E-5</v>
      </c>
      <c r="AA55" s="14"/>
    </row>
    <row r="56" spans="1:33" s="65" customFormat="1" ht="15" customHeight="1" x14ac:dyDescent="0.2">
      <c r="A56" s="36" t="s">
        <v>407</v>
      </c>
      <c r="B56" s="27" t="s">
        <v>33</v>
      </c>
      <c r="C56" s="7"/>
      <c r="D56" s="7"/>
      <c r="E56" s="7"/>
      <c r="F56" s="8"/>
      <c r="G56" s="33">
        <v>471732</v>
      </c>
      <c r="H56" s="7">
        <v>1925</v>
      </c>
      <c r="I56" s="7">
        <v>10</v>
      </c>
      <c r="J56" s="8">
        <f t="shared" si="17"/>
        <v>40.842597402597399</v>
      </c>
      <c r="K56" s="7">
        <v>0</v>
      </c>
      <c r="L56" s="7">
        <v>1</v>
      </c>
      <c r="M56" s="7">
        <v>0</v>
      </c>
      <c r="N56" s="75">
        <f t="shared" si="11"/>
        <v>0</v>
      </c>
      <c r="O56" s="75">
        <f t="shared" si="18"/>
        <v>40.842597402597399</v>
      </c>
      <c r="P56" s="75">
        <f t="shared" si="19"/>
        <v>12.334464415584414</v>
      </c>
      <c r="Q56" s="68">
        <f t="shared" si="20"/>
        <v>41.659449350649346</v>
      </c>
      <c r="R56" s="55">
        <f>1.54*5+13.6+3.6+24+7</f>
        <v>55.900000000000006</v>
      </c>
      <c r="S56" s="55">
        <v>55.900000000000006</v>
      </c>
      <c r="T56" s="78">
        <f t="shared" si="7"/>
        <v>55.900000000000006</v>
      </c>
      <c r="U56" s="9">
        <f t="shared" si="8"/>
        <v>150.73651116883116</v>
      </c>
      <c r="V56" s="75">
        <f t="shared" si="9"/>
        <v>37.684127792207789</v>
      </c>
      <c r="W56" s="42">
        <v>188</v>
      </c>
      <c r="X56" s="71">
        <v>184.0643257142857</v>
      </c>
      <c r="Y56" s="60">
        <f t="shared" si="4"/>
        <v>1.0213820590733234</v>
      </c>
      <c r="Z56" s="60">
        <f t="shared" si="10"/>
        <v>2.1382059073323356E-2</v>
      </c>
      <c r="AA56" s="14"/>
      <c r="AB56" s="47"/>
      <c r="AC56" s="16"/>
      <c r="AD56" s="5"/>
      <c r="AE56" s="5"/>
      <c r="AF56" s="5"/>
      <c r="AG56" s="5"/>
    </row>
    <row r="57" spans="1:33" ht="15" customHeight="1" x14ac:dyDescent="0.2">
      <c r="A57" s="36" t="s">
        <v>408</v>
      </c>
      <c r="B57" s="27" t="s">
        <v>361</v>
      </c>
      <c r="C57" s="21">
        <v>942048</v>
      </c>
      <c r="D57" s="7">
        <v>1650</v>
      </c>
      <c r="E57" s="7">
        <v>2</v>
      </c>
      <c r="F57" s="8">
        <f>C57/D57/60*E57</f>
        <v>19.031272727272729</v>
      </c>
      <c r="G57" s="33">
        <v>471732</v>
      </c>
      <c r="H57" s="7">
        <v>1925</v>
      </c>
      <c r="I57" s="7">
        <v>1</v>
      </c>
      <c r="J57" s="8">
        <f t="shared" si="17"/>
        <v>4.08425974025974</v>
      </c>
      <c r="K57" s="7">
        <v>0</v>
      </c>
      <c r="L57" s="7">
        <v>1</v>
      </c>
      <c r="M57" s="7">
        <v>0</v>
      </c>
      <c r="N57" s="75">
        <f t="shared" si="11"/>
        <v>0</v>
      </c>
      <c r="O57" s="75">
        <f t="shared" si="18"/>
        <v>23.115532467532468</v>
      </c>
      <c r="P57" s="75">
        <f t="shared" si="19"/>
        <v>6.9808908051948046</v>
      </c>
      <c r="Q57" s="68">
        <f t="shared" si="20"/>
        <v>23.577843116883116</v>
      </c>
      <c r="R57" s="55">
        <f>9.95+17.02+21</f>
        <v>47.97</v>
      </c>
      <c r="S57" s="55">
        <v>47.97</v>
      </c>
      <c r="T57" s="78">
        <f t="shared" si="7"/>
        <v>47.97</v>
      </c>
      <c r="U57" s="9">
        <f t="shared" si="8"/>
        <v>101.64426638961038</v>
      </c>
      <c r="V57" s="75">
        <f t="shared" si="9"/>
        <v>25.411066597402595</v>
      </c>
      <c r="W57" s="42">
        <v>127</v>
      </c>
      <c r="X57" s="71">
        <v>122.58493012987014</v>
      </c>
      <c r="Y57" s="60">
        <f t="shared" si="4"/>
        <v>1.0360164162548562</v>
      </c>
      <c r="Z57" s="60">
        <f t="shared" si="10"/>
        <v>3.6016416254856187E-2</v>
      </c>
      <c r="AA57" s="14"/>
    </row>
    <row r="58" spans="1:33" ht="15" customHeight="1" x14ac:dyDescent="0.2">
      <c r="A58" s="36" t="s">
        <v>409</v>
      </c>
      <c r="B58" s="27" t="s">
        <v>93</v>
      </c>
      <c r="C58" s="7"/>
      <c r="D58" s="7"/>
      <c r="E58" s="7"/>
      <c r="F58" s="8"/>
      <c r="G58" s="33">
        <v>471732</v>
      </c>
      <c r="H58" s="7">
        <v>1925</v>
      </c>
      <c r="I58" s="7">
        <v>5</v>
      </c>
      <c r="J58" s="8">
        <f t="shared" si="17"/>
        <v>20.421298701298699</v>
      </c>
      <c r="K58" s="7">
        <v>4680</v>
      </c>
      <c r="L58" s="7">
        <v>846720</v>
      </c>
      <c r="M58" s="7">
        <v>5</v>
      </c>
      <c r="N58" s="75">
        <f t="shared" si="11"/>
        <v>2.7636054421768707E-2</v>
      </c>
      <c r="O58" s="75">
        <f t="shared" si="18"/>
        <v>20.448934755720469</v>
      </c>
      <c r="P58" s="75">
        <f t="shared" si="19"/>
        <v>6.1755782962275818</v>
      </c>
      <c r="Q58" s="68">
        <f t="shared" si="20"/>
        <v>20.857913450834879</v>
      </c>
      <c r="R58" s="55">
        <f>1.54*2+3.16+17.02</f>
        <v>23.259999999999998</v>
      </c>
      <c r="S58" s="55">
        <v>23.259999999999998</v>
      </c>
      <c r="T58" s="78">
        <f t="shared" si="7"/>
        <v>23.259999999999998</v>
      </c>
      <c r="U58" s="9">
        <f t="shared" si="8"/>
        <v>70.770062557204696</v>
      </c>
      <c r="V58" s="75">
        <f t="shared" si="9"/>
        <v>17.692515639301174</v>
      </c>
      <c r="W58" s="42">
        <v>88</v>
      </c>
      <c r="X58" s="71">
        <v>91.474845469233159</v>
      </c>
      <c r="Y58" s="60">
        <f t="shared" si="4"/>
        <v>0.96201310369633919</v>
      </c>
      <c r="Z58" s="60">
        <f t="shared" si="10"/>
        <v>-3.7986896303660811E-2</v>
      </c>
      <c r="AA58" s="14"/>
    </row>
    <row r="59" spans="1:33" ht="15" customHeight="1" x14ac:dyDescent="0.2">
      <c r="A59" s="36" t="s">
        <v>410</v>
      </c>
      <c r="B59" s="27" t="s">
        <v>303</v>
      </c>
      <c r="C59" s="21">
        <v>942048</v>
      </c>
      <c r="D59" s="7">
        <v>1650</v>
      </c>
      <c r="E59" s="7">
        <v>2</v>
      </c>
      <c r="F59" s="8">
        <f t="shared" ref="F59:F66" si="22">C59/D59/60*E59</f>
        <v>19.031272727272729</v>
      </c>
      <c r="G59" s="33">
        <v>471732</v>
      </c>
      <c r="H59" s="7">
        <v>1925</v>
      </c>
      <c r="I59" s="7">
        <v>2</v>
      </c>
      <c r="J59" s="8">
        <f t="shared" si="17"/>
        <v>8.1685194805194801</v>
      </c>
      <c r="K59" s="7">
        <v>5350</v>
      </c>
      <c r="L59" s="7">
        <v>846720</v>
      </c>
      <c r="M59" s="7">
        <v>4</v>
      </c>
      <c r="N59" s="75">
        <f t="shared" si="11"/>
        <v>2.5273998488284204E-2</v>
      </c>
      <c r="O59" s="75">
        <f t="shared" si="18"/>
        <v>27.225066206280491</v>
      </c>
      <c r="P59" s="75">
        <f t="shared" si="19"/>
        <v>8.2219699942967086</v>
      </c>
      <c r="Q59" s="68">
        <f t="shared" si="20"/>
        <v>27.769567530406103</v>
      </c>
      <c r="R59" s="55">
        <f>1.8+17.02</f>
        <v>18.82</v>
      </c>
      <c r="S59" s="55">
        <v>18.82</v>
      </c>
      <c r="T59" s="78">
        <f t="shared" si="7"/>
        <v>18.82</v>
      </c>
      <c r="U59" s="9">
        <f t="shared" si="8"/>
        <v>82.061877729471576</v>
      </c>
      <c r="V59" s="75">
        <f t="shared" si="9"/>
        <v>20.515469432367894</v>
      </c>
      <c r="W59" s="42">
        <v>103</v>
      </c>
      <c r="X59" s="71">
        <v>96.801899889112221</v>
      </c>
      <c r="Y59" s="60">
        <f t="shared" si="4"/>
        <v>1.064028703134833</v>
      </c>
      <c r="Z59" s="60">
        <f t="shared" si="10"/>
        <v>6.4028703134832998E-2</v>
      </c>
      <c r="AA59" s="14"/>
    </row>
    <row r="60" spans="1:33" ht="15" customHeight="1" x14ac:dyDescent="0.2">
      <c r="A60" s="36" t="s">
        <v>411</v>
      </c>
      <c r="B60" s="27" t="s">
        <v>304</v>
      </c>
      <c r="C60" s="21">
        <v>942048</v>
      </c>
      <c r="D60" s="7">
        <v>1650</v>
      </c>
      <c r="E60" s="7">
        <v>5</v>
      </c>
      <c r="F60" s="8">
        <f t="shared" si="22"/>
        <v>47.578181818181818</v>
      </c>
      <c r="G60" s="33">
        <v>471732</v>
      </c>
      <c r="H60" s="7">
        <v>1925</v>
      </c>
      <c r="I60" s="7">
        <v>3</v>
      </c>
      <c r="J60" s="8">
        <f t="shared" si="17"/>
        <v>12.252779220779221</v>
      </c>
      <c r="K60" s="7">
        <v>0</v>
      </c>
      <c r="L60" s="7">
        <v>1</v>
      </c>
      <c r="M60" s="7">
        <v>0</v>
      </c>
      <c r="N60" s="75">
        <f t="shared" si="11"/>
        <v>0</v>
      </c>
      <c r="O60" s="75">
        <f t="shared" si="18"/>
        <v>59.830961038961036</v>
      </c>
      <c r="P60" s="75">
        <f t="shared" si="19"/>
        <v>18.06895023376623</v>
      </c>
      <c r="Q60" s="68">
        <f t="shared" si="20"/>
        <v>61.027580259740255</v>
      </c>
      <c r="R60" s="55">
        <f>0.34</f>
        <v>0.34</v>
      </c>
      <c r="S60" s="55">
        <v>0.34</v>
      </c>
      <c r="T60" s="78">
        <f t="shared" si="7"/>
        <v>0.34</v>
      </c>
      <c r="U60" s="9">
        <f t="shared" si="8"/>
        <v>139.26749153246752</v>
      </c>
      <c r="V60" s="75">
        <f t="shared" si="9"/>
        <v>34.816872883116879</v>
      </c>
      <c r="W60" s="42">
        <v>174</v>
      </c>
      <c r="X60" s="71">
        <v>167.5305948051948</v>
      </c>
      <c r="Y60" s="60">
        <f t="shared" si="4"/>
        <v>1.0386162611213066</v>
      </c>
      <c r="Z60" s="60">
        <f t="shared" si="10"/>
        <v>3.8616261121306561E-2</v>
      </c>
      <c r="AA60" s="14"/>
    </row>
    <row r="61" spans="1:33" ht="15" customHeight="1" x14ac:dyDescent="0.2">
      <c r="A61" s="36" t="s">
        <v>412</v>
      </c>
      <c r="B61" s="27" t="s">
        <v>305</v>
      </c>
      <c r="C61" s="21">
        <v>942048</v>
      </c>
      <c r="D61" s="7">
        <v>1650</v>
      </c>
      <c r="E61" s="7">
        <v>4</v>
      </c>
      <c r="F61" s="8">
        <f t="shared" si="22"/>
        <v>38.062545454545457</v>
      </c>
      <c r="G61" s="33">
        <v>471732</v>
      </c>
      <c r="H61" s="7">
        <v>1925</v>
      </c>
      <c r="I61" s="7">
        <v>1</v>
      </c>
      <c r="J61" s="8">
        <f t="shared" si="17"/>
        <v>4.08425974025974</v>
      </c>
      <c r="K61" s="7">
        <v>12360</v>
      </c>
      <c r="L61" s="7">
        <v>846720</v>
      </c>
      <c r="M61" s="7">
        <v>5</v>
      </c>
      <c r="N61" s="75">
        <f t="shared" si="11"/>
        <v>7.2987528344671204E-2</v>
      </c>
      <c r="O61" s="75">
        <f t="shared" si="18"/>
        <v>42.219792723149865</v>
      </c>
      <c r="P61" s="75">
        <f t="shared" si="19"/>
        <v>12.750377402391258</v>
      </c>
      <c r="Q61" s="68">
        <f t="shared" si="20"/>
        <v>43.06418857761286</v>
      </c>
      <c r="R61" s="55">
        <f>1.8+9.95</f>
        <v>11.75</v>
      </c>
      <c r="S61" s="55">
        <v>11.75</v>
      </c>
      <c r="T61" s="78">
        <f t="shared" si="7"/>
        <v>11.75</v>
      </c>
      <c r="U61" s="9">
        <f t="shared" si="8"/>
        <v>109.85734623149865</v>
      </c>
      <c r="V61" s="75">
        <f t="shared" si="9"/>
        <v>27.464336557874663</v>
      </c>
      <c r="W61" s="42">
        <v>137</v>
      </c>
      <c r="X61" s="71">
        <v>129.85459317898372</v>
      </c>
      <c r="Y61" s="60">
        <f t="shared" si="4"/>
        <v>1.0550262154467458</v>
      </c>
      <c r="Z61" s="60">
        <f t="shared" si="10"/>
        <v>5.5026215446745796E-2</v>
      </c>
      <c r="AA61" s="14"/>
    </row>
    <row r="62" spans="1:33" ht="15" customHeight="1" x14ac:dyDescent="0.2">
      <c r="A62" s="36" t="s">
        <v>413</v>
      </c>
      <c r="B62" s="27" t="s">
        <v>320</v>
      </c>
      <c r="C62" s="21">
        <v>942048</v>
      </c>
      <c r="D62" s="7">
        <v>1650</v>
      </c>
      <c r="E62" s="7">
        <v>1</v>
      </c>
      <c r="F62" s="8">
        <f t="shared" si="22"/>
        <v>9.5156363636363643</v>
      </c>
      <c r="G62" s="33">
        <v>471732</v>
      </c>
      <c r="H62" s="7">
        <v>1925</v>
      </c>
      <c r="I62" s="7">
        <v>2</v>
      </c>
      <c r="J62" s="8">
        <f t="shared" si="17"/>
        <v>8.1685194805194801</v>
      </c>
      <c r="K62" s="7">
        <v>0</v>
      </c>
      <c r="L62" s="7">
        <v>1</v>
      </c>
      <c r="M62" s="7">
        <v>0</v>
      </c>
      <c r="N62" s="75">
        <f t="shared" si="11"/>
        <v>0</v>
      </c>
      <c r="O62" s="75">
        <f t="shared" si="18"/>
        <v>17.684155844155846</v>
      </c>
      <c r="P62" s="75">
        <f t="shared" si="19"/>
        <v>5.340615064935065</v>
      </c>
      <c r="Q62" s="68">
        <f t="shared" si="20"/>
        <v>18.037838961038965</v>
      </c>
      <c r="R62" s="55">
        <f>9.95+17.02</f>
        <v>26.97</v>
      </c>
      <c r="S62" s="55">
        <v>26.97</v>
      </c>
      <c r="T62" s="78">
        <f t="shared" si="7"/>
        <v>26.97</v>
      </c>
      <c r="U62" s="9">
        <f t="shared" si="8"/>
        <v>68.032609870129875</v>
      </c>
      <c r="V62" s="75">
        <f t="shared" si="9"/>
        <v>17.008152467532469</v>
      </c>
      <c r="W62" s="42">
        <v>85</v>
      </c>
      <c r="X62" s="71">
        <v>80.679322597402603</v>
      </c>
      <c r="Y62" s="60">
        <f t="shared" si="4"/>
        <v>1.0535537144276481</v>
      </c>
      <c r="Z62" s="60">
        <f t="shared" si="10"/>
        <v>5.3553714427648114E-2</v>
      </c>
      <c r="AA62" s="14"/>
    </row>
    <row r="63" spans="1:33" ht="15" customHeight="1" x14ac:dyDescent="0.2">
      <c r="A63" s="36" t="s">
        <v>414</v>
      </c>
      <c r="B63" s="27" t="s">
        <v>321</v>
      </c>
      <c r="C63" s="21">
        <v>942048</v>
      </c>
      <c r="D63" s="7">
        <v>1650</v>
      </c>
      <c r="E63" s="7">
        <v>4</v>
      </c>
      <c r="F63" s="8">
        <f t="shared" si="22"/>
        <v>38.062545454545457</v>
      </c>
      <c r="G63" s="33">
        <v>471732</v>
      </c>
      <c r="H63" s="7">
        <v>1925</v>
      </c>
      <c r="I63" s="7">
        <v>0</v>
      </c>
      <c r="J63" s="8">
        <f t="shared" si="17"/>
        <v>0</v>
      </c>
      <c r="K63" s="7">
        <v>0</v>
      </c>
      <c r="L63" s="7">
        <v>1</v>
      </c>
      <c r="M63" s="7">
        <v>0</v>
      </c>
      <c r="N63" s="75">
        <f t="shared" si="11"/>
        <v>0</v>
      </c>
      <c r="O63" s="75">
        <f t="shared" si="18"/>
        <v>38.062545454545457</v>
      </c>
      <c r="P63" s="75">
        <f t="shared" si="19"/>
        <v>11.494888727272727</v>
      </c>
      <c r="Q63" s="68">
        <f t="shared" si="20"/>
        <v>38.823796363636369</v>
      </c>
      <c r="R63" s="55">
        <f>17.02</f>
        <v>17.02</v>
      </c>
      <c r="S63" s="55">
        <v>17.02</v>
      </c>
      <c r="T63" s="78">
        <f t="shared" si="7"/>
        <v>17.02</v>
      </c>
      <c r="U63" s="9">
        <f t="shared" si="8"/>
        <v>105.40123054545454</v>
      </c>
      <c r="V63" s="75">
        <f t="shared" si="9"/>
        <v>26.350307636363635</v>
      </c>
      <c r="W63" s="42">
        <v>132</v>
      </c>
      <c r="X63" s="71">
        <v>136.13901246753247</v>
      </c>
      <c r="Y63" s="60">
        <f t="shared" si="4"/>
        <v>0.96959716107446003</v>
      </c>
      <c r="Z63" s="60">
        <f t="shared" si="10"/>
        <v>-3.0402838925539966E-2</v>
      </c>
      <c r="AA63" s="14"/>
    </row>
    <row r="64" spans="1:33" ht="15" customHeight="1" x14ac:dyDescent="0.2">
      <c r="A64" s="36" t="s">
        <v>415</v>
      </c>
      <c r="B64" s="27" t="s">
        <v>322</v>
      </c>
      <c r="C64" s="21">
        <v>942048</v>
      </c>
      <c r="D64" s="7">
        <v>1650</v>
      </c>
      <c r="E64" s="7">
        <v>4</v>
      </c>
      <c r="F64" s="8">
        <f t="shared" si="22"/>
        <v>38.062545454545457</v>
      </c>
      <c r="G64" s="33">
        <v>471732</v>
      </c>
      <c r="H64" s="7">
        <v>1925</v>
      </c>
      <c r="I64" s="7">
        <v>1</v>
      </c>
      <c r="J64" s="8">
        <f t="shared" si="17"/>
        <v>4.08425974025974</v>
      </c>
      <c r="K64" s="7">
        <v>0</v>
      </c>
      <c r="L64" s="7">
        <v>1</v>
      </c>
      <c r="M64" s="7">
        <v>0</v>
      </c>
      <c r="N64" s="75">
        <f t="shared" si="11"/>
        <v>0</v>
      </c>
      <c r="O64" s="75">
        <f t="shared" si="18"/>
        <v>42.146805194805196</v>
      </c>
      <c r="P64" s="75">
        <f t="shared" si="19"/>
        <v>12.728335168831169</v>
      </c>
      <c r="Q64" s="68">
        <f t="shared" si="20"/>
        <v>42.989741298701304</v>
      </c>
      <c r="R64" s="55">
        <f>17.02</f>
        <v>17.02</v>
      </c>
      <c r="S64" s="55">
        <v>17.02</v>
      </c>
      <c r="T64" s="78">
        <f t="shared" si="7"/>
        <v>17.02</v>
      </c>
      <c r="U64" s="9">
        <f t="shared" si="8"/>
        <v>114.88488166233766</v>
      </c>
      <c r="V64" s="75">
        <f t="shared" si="9"/>
        <v>28.721220415584416</v>
      </c>
      <c r="W64" s="42">
        <v>144</v>
      </c>
      <c r="X64" s="71">
        <v>136.30768415584416</v>
      </c>
      <c r="Y64" s="60">
        <f t="shared" si="4"/>
        <v>1.0564334717576231</v>
      </c>
      <c r="Z64" s="60">
        <f t="shared" si="10"/>
        <v>5.6433471757623144E-2</v>
      </c>
      <c r="AA64" s="14"/>
    </row>
    <row r="65" spans="1:34" ht="15" customHeight="1" x14ac:dyDescent="0.2">
      <c r="A65" s="36" t="s">
        <v>856</v>
      </c>
      <c r="B65" s="27" t="s">
        <v>326</v>
      </c>
      <c r="C65" s="21">
        <v>942048</v>
      </c>
      <c r="D65" s="7">
        <v>1650</v>
      </c>
      <c r="E65" s="7">
        <v>50</v>
      </c>
      <c r="F65" s="8">
        <f t="shared" si="22"/>
        <v>475.78181818181821</v>
      </c>
      <c r="G65" s="33">
        <v>471732</v>
      </c>
      <c r="H65" s="7">
        <v>1925</v>
      </c>
      <c r="I65" s="7">
        <v>0</v>
      </c>
      <c r="J65" s="8">
        <f t="shared" si="17"/>
        <v>0</v>
      </c>
      <c r="K65" s="7">
        <v>0</v>
      </c>
      <c r="L65" s="7">
        <v>1</v>
      </c>
      <c r="M65" s="7">
        <v>0</v>
      </c>
      <c r="N65" s="75">
        <f t="shared" si="11"/>
        <v>0</v>
      </c>
      <c r="O65" s="75">
        <f t="shared" si="18"/>
        <v>475.78181818181821</v>
      </c>
      <c r="P65" s="75">
        <f t="shared" si="19"/>
        <v>143.6861090909091</v>
      </c>
      <c r="Q65" s="68">
        <f t="shared" si="20"/>
        <v>485.29745454545457</v>
      </c>
      <c r="R65" s="55">
        <f>17.02</f>
        <v>17.02</v>
      </c>
      <c r="S65" s="55">
        <v>17.02</v>
      </c>
      <c r="T65" s="78">
        <f t="shared" si="7"/>
        <v>17.02</v>
      </c>
      <c r="U65" s="9">
        <f t="shared" si="8"/>
        <v>1121.785381818182</v>
      </c>
      <c r="V65" s="75">
        <f t="shared" si="9"/>
        <v>280.44634545454551</v>
      </c>
      <c r="W65" s="42">
        <v>1402</v>
      </c>
      <c r="X65" s="71">
        <v>1379.2187974025974</v>
      </c>
      <c r="Y65" s="60">
        <f t="shared" si="4"/>
        <v>1.0165174681785842</v>
      </c>
      <c r="Z65" s="60">
        <f t="shared" si="10"/>
        <v>1.6517468178584238E-2</v>
      </c>
      <c r="AA65" s="14"/>
    </row>
    <row r="66" spans="1:34" ht="15" customHeight="1" x14ac:dyDescent="0.2">
      <c r="A66" s="36" t="s">
        <v>857</v>
      </c>
      <c r="B66" s="27" t="s">
        <v>364</v>
      </c>
      <c r="C66" s="21">
        <v>942048</v>
      </c>
      <c r="D66" s="7">
        <v>1650</v>
      </c>
      <c r="E66" s="7">
        <v>400</v>
      </c>
      <c r="F66" s="8">
        <f t="shared" si="22"/>
        <v>3806.2545454545457</v>
      </c>
      <c r="G66" s="33">
        <v>471732</v>
      </c>
      <c r="H66" s="7">
        <v>1925</v>
      </c>
      <c r="I66" s="7">
        <v>0</v>
      </c>
      <c r="J66" s="8">
        <f t="shared" ref="J66:J71" si="23">G66/H66/60*I66</f>
        <v>0</v>
      </c>
      <c r="K66" s="7">
        <v>0</v>
      </c>
      <c r="L66" s="7">
        <v>1</v>
      </c>
      <c r="M66" s="7">
        <v>0</v>
      </c>
      <c r="N66" s="75">
        <f t="shared" ref="N66:N71" si="24">K66/L66*M66</f>
        <v>0</v>
      </c>
      <c r="O66" s="75">
        <f t="shared" ref="O66:O71" si="25">F66+J66+N66</f>
        <v>3806.2545454545457</v>
      </c>
      <c r="P66" s="75">
        <f t="shared" ref="P66:P73" si="26">O66*0.302</f>
        <v>1149.4888727272728</v>
      </c>
      <c r="Q66" s="68">
        <f t="shared" si="20"/>
        <v>3882.3796363636366</v>
      </c>
      <c r="R66" s="55">
        <f>17.02</f>
        <v>17.02</v>
      </c>
      <c r="S66" s="55">
        <v>17.02</v>
      </c>
      <c r="T66" s="78">
        <f t="shared" si="7"/>
        <v>17.02</v>
      </c>
      <c r="U66" s="9">
        <f t="shared" si="8"/>
        <v>8855.1430545454568</v>
      </c>
      <c r="V66" s="75">
        <f t="shared" ref="V66:V71" si="27">U66*25%</f>
        <v>2213.7857636363642</v>
      </c>
      <c r="W66" s="42">
        <v>11069</v>
      </c>
      <c r="X66" s="71">
        <v>10980.200272727274</v>
      </c>
      <c r="Y66" s="60">
        <f t="shared" si="4"/>
        <v>1.0080872593456502</v>
      </c>
      <c r="Z66" s="60">
        <f t="shared" si="10"/>
        <v>8.087259345650244E-3</v>
      </c>
      <c r="AA66" s="14"/>
    </row>
    <row r="67" spans="1:34" s="3" customFormat="1" ht="15" customHeight="1" x14ac:dyDescent="0.2">
      <c r="A67" s="39" t="s">
        <v>858</v>
      </c>
      <c r="B67" s="27" t="s">
        <v>47</v>
      </c>
      <c r="C67" s="21">
        <v>942048</v>
      </c>
      <c r="D67" s="7">
        <v>1650</v>
      </c>
      <c r="E67" s="7">
        <v>14</v>
      </c>
      <c r="F67" s="8">
        <f>C67/D67/60*E67</f>
        <v>133.21890909090911</v>
      </c>
      <c r="G67" s="33">
        <v>471732</v>
      </c>
      <c r="H67" s="7">
        <v>1925</v>
      </c>
      <c r="I67" s="7">
        <v>5</v>
      </c>
      <c r="J67" s="8">
        <f t="shared" si="23"/>
        <v>20.421298701298699</v>
      </c>
      <c r="K67" s="7">
        <v>0</v>
      </c>
      <c r="L67" s="7">
        <v>1</v>
      </c>
      <c r="M67" s="7">
        <v>0</v>
      </c>
      <c r="N67" s="75">
        <f t="shared" si="24"/>
        <v>0</v>
      </c>
      <c r="O67" s="75">
        <f t="shared" si="25"/>
        <v>153.6402077922078</v>
      </c>
      <c r="P67" s="75">
        <f t="shared" si="26"/>
        <v>46.399342753246756</v>
      </c>
      <c r="Q67" s="68">
        <f t="shared" ref="Q67:Q72" si="28">(O67)*102%</f>
        <v>156.71301194805196</v>
      </c>
      <c r="R67" s="55">
        <f>17.02+1</f>
        <v>18.02</v>
      </c>
      <c r="S67" s="55">
        <v>18.02</v>
      </c>
      <c r="T67" s="78">
        <f t="shared" si="7"/>
        <v>18.02</v>
      </c>
      <c r="U67" s="9">
        <f t="shared" si="8"/>
        <v>374.77256249350648</v>
      </c>
      <c r="V67" s="75">
        <f t="shared" si="27"/>
        <v>93.693140623376621</v>
      </c>
      <c r="W67" s="42">
        <v>468</v>
      </c>
      <c r="X67" s="71">
        <v>440.28898701298704</v>
      </c>
      <c r="Y67" s="60">
        <f t="shared" si="4"/>
        <v>1.0629382378492143</v>
      </c>
      <c r="Z67" s="60">
        <f t="shared" si="10"/>
        <v>6.2938237849214262E-2</v>
      </c>
      <c r="AA67" s="14"/>
      <c r="AB67" s="50"/>
      <c r="AC67" s="16"/>
    </row>
    <row r="68" spans="1:34" s="3" customFormat="1" ht="15" customHeight="1" x14ac:dyDescent="0.2">
      <c r="A68" s="39" t="s">
        <v>416</v>
      </c>
      <c r="B68" s="29" t="s">
        <v>284</v>
      </c>
      <c r="C68" s="21">
        <v>942048</v>
      </c>
      <c r="D68" s="7">
        <v>1650</v>
      </c>
      <c r="E68" s="7">
        <v>12</v>
      </c>
      <c r="F68" s="8">
        <f>C68/D68/60*E68</f>
        <v>114.18763636363637</v>
      </c>
      <c r="G68" s="33">
        <v>471732</v>
      </c>
      <c r="H68" s="7">
        <v>1925</v>
      </c>
      <c r="I68" s="7">
        <v>2</v>
      </c>
      <c r="J68" s="8">
        <f t="shared" si="23"/>
        <v>8.1685194805194801</v>
      </c>
      <c r="K68" s="7">
        <v>0</v>
      </c>
      <c r="L68" s="7">
        <v>1</v>
      </c>
      <c r="M68" s="7">
        <v>0</v>
      </c>
      <c r="N68" s="75">
        <f t="shared" si="24"/>
        <v>0</v>
      </c>
      <c r="O68" s="75">
        <f t="shared" si="25"/>
        <v>122.35615584415585</v>
      </c>
      <c r="P68" s="75">
        <f t="shared" si="26"/>
        <v>36.951559064935068</v>
      </c>
      <c r="Q68" s="68">
        <f t="shared" si="28"/>
        <v>124.80327896103897</v>
      </c>
      <c r="R68" s="55">
        <f>19</f>
        <v>19</v>
      </c>
      <c r="S68" s="55">
        <v>19</v>
      </c>
      <c r="T68" s="78">
        <f t="shared" ref="T68:T129" si="29">S68*1</f>
        <v>19</v>
      </c>
      <c r="U68" s="9">
        <f t="shared" ref="U68:U129" si="30">N68+O68+P68+Q68+T68</f>
        <v>303.1109938701299</v>
      </c>
      <c r="V68" s="75">
        <f t="shared" si="27"/>
        <v>75.777748467532476</v>
      </c>
      <c r="W68" s="42">
        <v>379</v>
      </c>
      <c r="X68" s="71">
        <v>379.22890025974027</v>
      </c>
      <c r="Y68" s="60">
        <f t="shared" si="4"/>
        <v>0.99939640607669011</v>
      </c>
      <c r="Z68" s="60">
        <f t="shared" ref="Z68:Z129" si="31">Y68-100%</f>
        <v>-6.0359392330988637E-4</v>
      </c>
      <c r="AA68" s="14"/>
      <c r="AB68" s="50"/>
      <c r="AC68" s="16"/>
    </row>
    <row r="69" spans="1:34" ht="15" customHeight="1" x14ac:dyDescent="0.2">
      <c r="A69" s="39" t="s">
        <v>417</v>
      </c>
      <c r="B69" s="27" t="s">
        <v>42</v>
      </c>
      <c r="C69" s="21">
        <v>942048</v>
      </c>
      <c r="D69" s="7">
        <v>1650</v>
      </c>
      <c r="E69" s="7">
        <v>10</v>
      </c>
      <c r="F69" s="8">
        <f>C69/D69/60*E69</f>
        <v>95.156363636363636</v>
      </c>
      <c r="G69" s="33">
        <v>471732</v>
      </c>
      <c r="H69" s="7">
        <v>1925</v>
      </c>
      <c r="I69" s="7">
        <v>1</v>
      </c>
      <c r="J69" s="8">
        <f t="shared" si="23"/>
        <v>4.08425974025974</v>
      </c>
      <c r="K69" s="7">
        <v>0</v>
      </c>
      <c r="L69" s="7">
        <v>1</v>
      </c>
      <c r="M69" s="7">
        <v>0</v>
      </c>
      <c r="N69" s="75">
        <f t="shared" si="24"/>
        <v>0</v>
      </c>
      <c r="O69" s="75">
        <f t="shared" si="25"/>
        <v>99.240623376623375</v>
      </c>
      <c r="P69" s="75">
        <f t="shared" si="26"/>
        <v>29.970668259740258</v>
      </c>
      <c r="Q69" s="68">
        <f t="shared" si="28"/>
        <v>101.22543584415584</v>
      </c>
      <c r="R69" s="55">
        <v>1.9</v>
      </c>
      <c r="S69" s="55">
        <v>1.9</v>
      </c>
      <c r="T69" s="78">
        <f t="shared" si="29"/>
        <v>1.9</v>
      </c>
      <c r="U69" s="9">
        <f t="shared" si="30"/>
        <v>232.33672748051947</v>
      </c>
      <c r="V69" s="75">
        <f t="shared" si="27"/>
        <v>58.084181870129868</v>
      </c>
      <c r="W69" s="42">
        <v>290</v>
      </c>
      <c r="X69" s="71">
        <v>274.13243116883115</v>
      </c>
      <c r="Y69" s="60">
        <f t="shared" si="4"/>
        <v>1.0578828588923739</v>
      </c>
      <c r="Z69" s="60">
        <f t="shared" si="31"/>
        <v>5.7882858892373878E-2</v>
      </c>
      <c r="AA69" s="14"/>
    </row>
    <row r="70" spans="1:34" ht="15" customHeight="1" x14ac:dyDescent="0.2">
      <c r="A70" s="39" t="s">
        <v>418</v>
      </c>
      <c r="B70" s="27" t="s">
        <v>306</v>
      </c>
      <c r="C70" s="21">
        <v>942048</v>
      </c>
      <c r="D70" s="7">
        <v>1650</v>
      </c>
      <c r="E70" s="7">
        <v>15</v>
      </c>
      <c r="F70" s="8">
        <f>C70/D70/60*E70</f>
        <v>142.73454545454547</v>
      </c>
      <c r="G70" s="33">
        <v>471732</v>
      </c>
      <c r="H70" s="7">
        <v>1925</v>
      </c>
      <c r="I70" s="7">
        <v>1</v>
      </c>
      <c r="J70" s="8">
        <f t="shared" si="23"/>
        <v>4.08425974025974</v>
      </c>
      <c r="K70" s="7">
        <v>0</v>
      </c>
      <c r="L70" s="7">
        <v>1</v>
      </c>
      <c r="M70" s="7">
        <v>0</v>
      </c>
      <c r="N70" s="75">
        <f t="shared" si="24"/>
        <v>0</v>
      </c>
      <c r="O70" s="75">
        <f t="shared" si="25"/>
        <v>146.81880519480521</v>
      </c>
      <c r="P70" s="75">
        <f t="shared" si="26"/>
        <v>44.339279168831169</v>
      </c>
      <c r="Q70" s="68">
        <f t="shared" si="28"/>
        <v>149.7551812987013</v>
      </c>
      <c r="R70" s="55">
        <v>1.9</v>
      </c>
      <c r="S70" s="55">
        <v>1.9</v>
      </c>
      <c r="T70" s="78">
        <f t="shared" si="29"/>
        <v>1.9</v>
      </c>
      <c r="U70" s="9">
        <f t="shared" si="30"/>
        <v>342.81326566233764</v>
      </c>
      <c r="V70" s="75">
        <f t="shared" si="27"/>
        <v>85.70331641558441</v>
      </c>
      <c r="W70" s="42">
        <v>429</v>
      </c>
      <c r="X70" s="71">
        <v>409.75813922077919</v>
      </c>
      <c r="Y70" s="60">
        <f t="shared" si="4"/>
        <v>1.0469590691128485</v>
      </c>
      <c r="Z70" s="60">
        <f t="shared" si="31"/>
        <v>4.6959069112848528E-2</v>
      </c>
      <c r="AA70" s="14"/>
    </row>
    <row r="71" spans="1:34" ht="15" customHeight="1" x14ac:dyDescent="0.2">
      <c r="A71" s="39" t="s">
        <v>419</v>
      </c>
      <c r="B71" s="27" t="s">
        <v>307</v>
      </c>
      <c r="C71" s="21">
        <v>942048</v>
      </c>
      <c r="D71" s="7">
        <v>1650</v>
      </c>
      <c r="E71" s="7">
        <v>8</v>
      </c>
      <c r="F71" s="8">
        <f>C71/D71/60*E71</f>
        <v>76.125090909090915</v>
      </c>
      <c r="G71" s="33">
        <v>471732</v>
      </c>
      <c r="H71" s="7">
        <v>1925</v>
      </c>
      <c r="I71" s="7">
        <v>1</v>
      </c>
      <c r="J71" s="8">
        <f t="shared" si="23"/>
        <v>4.08425974025974</v>
      </c>
      <c r="K71" s="7">
        <v>0</v>
      </c>
      <c r="L71" s="7">
        <v>1</v>
      </c>
      <c r="M71" s="7">
        <v>0</v>
      </c>
      <c r="N71" s="75">
        <f t="shared" si="24"/>
        <v>0</v>
      </c>
      <c r="O71" s="75">
        <f t="shared" si="25"/>
        <v>80.209350649350654</v>
      </c>
      <c r="P71" s="75">
        <f t="shared" si="26"/>
        <v>24.223223896103896</v>
      </c>
      <c r="Q71" s="68">
        <f t="shared" si="28"/>
        <v>81.813537662337666</v>
      </c>
      <c r="R71" s="55">
        <v>1.9</v>
      </c>
      <c r="S71" s="55">
        <v>1.9</v>
      </c>
      <c r="T71" s="78">
        <f t="shared" si="29"/>
        <v>1.9</v>
      </c>
      <c r="U71" s="9">
        <f t="shared" si="30"/>
        <v>188.14611220779221</v>
      </c>
      <c r="V71" s="75">
        <f t="shared" si="27"/>
        <v>47.036528051948054</v>
      </c>
      <c r="W71" s="42">
        <v>235</v>
      </c>
      <c r="X71" s="71">
        <v>221.8908488311688</v>
      </c>
      <c r="Y71" s="60">
        <f t="shared" ref="Y71:Y134" si="32">W71/X71</f>
        <v>1.0590792781130223</v>
      </c>
      <c r="Z71" s="60">
        <f t="shared" si="31"/>
        <v>5.9079278113022271E-2</v>
      </c>
      <c r="AA71" s="14"/>
    </row>
    <row r="72" spans="1:34" ht="15" customHeight="1" x14ac:dyDescent="0.2">
      <c r="A72" s="36" t="s">
        <v>420</v>
      </c>
      <c r="B72" s="27" t="s">
        <v>274</v>
      </c>
      <c r="C72" s="21">
        <v>942048</v>
      </c>
      <c r="D72" s="7">
        <v>1500</v>
      </c>
      <c r="E72" s="7">
        <v>7</v>
      </c>
      <c r="F72" s="8">
        <f t="shared" ref="F72:F96" si="33">C72/D72/60*E72</f>
        <v>73.270399999999995</v>
      </c>
      <c r="G72" s="33">
        <v>471732</v>
      </c>
      <c r="H72" s="7">
        <v>1500</v>
      </c>
      <c r="I72" s="7">
        <v>2</v>
      </c>
      <c r="J72" s="8">
        <f t="shared" si="17"/>
        <v>10.482933333333333</v>
      </c>
      <c r="K72" s="7">
        <v>6500000</v>
      </c>
      <c r="L72" s="7">
        <v>846720</v>
      </c>
      <c r="M72" s="7">
        <v>2</v>
      </c>
      <c r="N72" s="75">
        <f t="shared" ref="N72:N134" si="34">K72/L72*M72</f>
        <v>15.353363567649282</v>
      </c>
      <c r="O72" s="75">
        <f t="shared" ref="O72:O96" si="35">F72+J72+N72</f>
        <v>99.106696900982612</v>
      </c>
      <c r="P72" s="75">
        <f t="shared" si="26"/>
        <v>29.930222464096747</v>
      </c>
      <c r="Q72" s="68">
        <f t="shared" si="28"/>
        <v>101.08883083900227</v>
      </c>
      <c r="R72" s="55">
        <v>28.204000000000001</v>
      </c>
      <c r="S72" s="55">
        <v>28.204000000000001</v>
      </c>
      <c r="T72" s="78">
        <f t="shared" si="29"/>
        <v>28.204000000000001</v>
      </c>
      <c r="U72" s="9">
        <f t="shared" si="30"/>
        <v>273.68311377173092</v>
      </c>
      <c r="V72" s="75">
        <f t="shared" ref="V72:V94" si="36">U72*25%</f>
        <v>68.420778442932729</v>
      </c>
      <c r="W72" s="42">
        <v>342</v>
      </c>
      <c r="X72" s="71">
        <v>323.51889406547622</v>
      </c>
      <c r="Y72" s="60">
        <f t="shared" si="32"/>
        <v>1.0571252754430578</v>
      </c>
      <c r="Z72" s="60">
        <f t="shared" si="31"/>
        <v>5.7125275443057788E-2</v>
      </c>
      <c r="AA72" s="14"/>
    </row>
    <row r="73" spans="1:34" ht="15" customHeight="1" x14ac:dyDescent="0.2">
      <c r="A73" s="36" t="s">
        <v>421</v>
      </c>
      <c r="B73" s="27" t="s">
        <v>67</v>
      </c>
      <c r="C73" s="21">
        <v>942048</v>
      </c>
      <c r="D73" s="7">
        <v>1500</v>
      </c>
      <c r="E73" s="7">
        <v>8</v>
      </c>
      <c r="F73" s="8">
        <f t="shared" si="33"/>
        <v>83.7376</v>
      </c>
      <c r="G73" s="33">
        <v>471732</v>
      </c>
      <c r="H73" s="7">
        <v>1500</v>
      </c>
      <c r="I73" s="7">
        <v>4</v>
      </c>
      <c r="J73" s="8">
        <f t="shared" si="17"/>
        <v>20.965866666666667</v>
      </c>
      <c r="K73" s="7">
        <v>6500000</v>
      </c>
      <c r="L73" s="7">
        <v>846720</v>
      </c>
      <c r="M73" s="7">
        <v>4</v>
      </c>
      <c r="N73" s="75">
        <f t="shared" si="34"/>
        <v>30.706727135298564</v>
      </c>
      <c r="O73" s="75">
        <f t="shared" si="35"/>
        <v>135.41019380196525</v>
      </c>
      <c r="P73" s="75">
        <f t="shared" si="26"/>
        <v>40.893878528193504</v>
      </c>
      <c r="Q73" s="68">
        <f t="shared" ref="Q73:Q96" si="37">(O73)*102%</f>
        <v>138.11839767800456</v>
      </c>
      <c r="R73" s="55">
        <v>6.0280000000000005</v>
      </c>
      <c r="S73" s="55">
        <v>6.0280000000000005</v>
      </c>
      <c r="T73" s="78">
        <f t="shared" si="29"/>
        <v>6.0280000000000005</v>
      </c>
      <c r="U73" s="9">
        <f t="shared" si="30"/>
        <v>351.15719714346187</v>
      </c>
      <c r="V73" s="75">
        <f t="shared" si="36"/>
        <v>87.789299285865468</v>
      </c>
      <c r="W73" s="42">
        <v>439</v>
      </c>
      <c r="X73" s="71">
        <v>437.87431944246021</v>
      </c>
      <c r="Y73" s="60">
        <f t="shared" si="32"/>
        <v>1.0025707846008716</v>
      </c>
      <c r="Z73" s="60">
        <f t="shared" si="31"/>
        <v>2.5707846008715673E-3</v>
      </c>
      <c r="AA73" s="14"/>
    </row>
    <row r="74" spans="1:34" ht="15" customHeight="1" x14ac:dyDescent="0.2">
      <c r="A74" s="36" t="s">
        <v>422</v>
      </c>
      <c r="B74" s="27" t="s">
        <v>68</v>
      </c>
      <c r="C74" s="21">
        <v>942048</v>
      </c>
      <c r="D74" s="7">
        <v>1500</v>
      </c>
      <c r="E74" s="7">
        <v>6</v>
      </c>
      <c r="F74" s="8">
        <f t="shared" si="33"/>
        <v>62.803200000000004</v>
      </c>
      <c r="G74" s="33">
        <v>471732</v>
      </c>
      <c r="H74" s="7">
        <v>1500</v>
      </c>
      <c r="I74" s="7">
        <v>2</v>
      </c>
      <c r="J74" s="8">
        <f t="shared" si="17"/>
        <v>10.482933333333333</v>
      </c>
      <c r="K74" s="7">
        <v>6500000</v>
      </c>
      <c r="L74" s="7">
        <v>846720</v>
      </c>
      <c r="M74" s="7">
        <v>3</v>
      </c>
      <c r="N74" s="75">
        <f t="shared" si="34"/>
        <v>23.030045351473923</v>
      </c>
      <c r="O74" s="75">
        <f t="shared" si="35"/>
        <v>96.316178684807255</v>
      </c>
      <c r="P74" s="75">
        <f t="shared" ref="P74:P96" si="38">O74*0.302</f>
        <v>29.08748596281179</v>
      </c>
      <c r="Q74" s="68">
        <f t="shared" si="37"/>
        <v>98.242502258503407</v>
      </c>
      <c r="R74" s="55">
        <v>13.42</v>
      </c>
      <c r="S74" s="55">
        <v>13.42</v>
      </c>
      <c r="T74" s="78">
        <f t="shared" si="29"/>
        <v>13.42</v>
      </c>
      <c r="U74" s="9">
        <f t="shared" si="30"/>
        <v>260.09621225759639</v>
      </c>
      <c r="V74" s="75">
        <f t="shared" si="36"/>
        <v>65.024053064399098</v>
      </c>
      <c r="W74" s="42">
        <v>325</v>
      </c>
      <c r="X74" s="71">
        <v>313.08693875396824</v>
      </c>
      <c r="Y74" s="60">
        <f t="shared" si="32"/>
        <v>1.0380503297053645</v>
      </c>
      <c r="Z74" s="60">
        <f t="shared" si="31"/>
        <v>3.8050329705364483E-2</v>
      </c>
      <c r="AA74" s="14"/>
    </row>
    <row r="75" spans="1:34" s="47" customFormat="1" ht="15" customHeight="1" x14ac:dyDescent="0.2">
      <c r="A75" s="36" t="s">
        <v>423</v>
      </c>
      <c r="B75" s="27" t="s">
        <v>275</v>
      </c>
      <c r="C75" s="21">
        <v>942048</v>
      </c>
      <c r="D75" s="7">
        <v>1500</v>
      </c>
      <c r="E75" s="7">
        <v>9</v>
      </c>
      <c r="F75" s="8">
        <f t="shared" si="33"/>
        <v>94.204800000000006</v>
      </c>
      <c r="G75" s="33">
        <v>471732</v>
      </c>
      <c r="H75" s="7">
        <v>1500</v>
      </c>
      <c r="I75" s="7">
        <v>3</v>
      </c>
      <c r="J75" s="8">
        <f t="shared" si="17"/>
        <v>15.724399999999999</v>
      </c>
      <c r="K75" s="7">
        <v>6500000</v>
      </c>
      <c r="L75" s="7">
        <v>846720</v>
      </c>
      <c r="M75" s="7">
        <v>3</v>
      </c>
      <c r="N75" s="75">
        <f t="shared" si="34"/>
        <v>23.030045351473923</v>
      </c>
      <c r="O75" s="75">
        <f t="shared" si="35"/>
        <v>132.95924535147392</v>
      </c>
      <c r="P75" s="75">
        <f t="shared" si="38"/>
        <v>40.153692096145122</v>
      </c>
      <c r="Q75" s="68">
        <f t="shared" si="37"/>
        <v>135.61843025850339</v>
      </c>
      <c r="R75" s="55">
        <v>13.2</v>
      </c>
      <c r="S75" s="55">
        <v>13.2</v>
      </c>
      <c r="T75" s="78">
        <f t="shared" si="29"/>
        <v>13.2</v>
      </c>
      <c r="U75" s="9">
        <f t="shared" si="30"/>
        <v>344.96141305759636</v>
      </c>
      <c r="V75" s="75">
        <f t="shared" si="36"/>
        <v>86.24035326439909</v>
      </c>
      <c r="W75" s="42">
        <v>431</v>
      </c>
      <c r="X75" s="71">
        <v>425.46918675396824</v>
      </c>
      <c r="Y75" s="60">
        <f t="shared" si="32"/>
        <v>1.0129993273736884</v>
      </c>
      <c r="Z75" s="60">
        <f t="shared" si="31"/>
        <v>1.2999327373688363E-2</v>
      </c>
      <c r="AA75" s="14"/>
      <c r="AC75" s="16"/>
      <c r="AD75" s="5"/>
      <c r="AE75" s="5"/>
      <c r="AF75" s="5"/>
      <c r="AG75" s="5"/>
      <c r="AH75" s="5"/>
    </row>
    <row r="76" spans="1:34" s="47" customFormat="1" ht="15" customHeight="1" x14ac:dyDescent="0.2">
      <c r="A76" s="36" t="s">
        <v>424</v>
      </c>
      <c r="B76" s="27" t="s">
        <v>94</v>
      </c>
      <c r="C76" s="21">
        <v>942048</v>
      </c>
      <c r="D76" s="7">
        <v>1500</v>
      </c>
      <c r="E76" s="7">
        <v>9</v>
      </c>
      <c r="F76" s="8">
        <f t="shared" si="33"/>
        <v>94.204800000000006</v>
      </c>
      <c r="G76" s="33">
        <v>471732</v>
      </c>
      <c r="H76" s="7">
        <v>1500</v>
      </c>
      <c r="I76" s="7">
        <v>3</v>
      </c>
      <c r="J76" s="8">
        <f t="shared" si="17"/>
        <v>15.724399999999999</v>
      </c>
      <c r="K76" s="7">
        <v>6500000</v>
      </c>
      <c r="L76" s="7">
        <v>846720</v>
      </c>
      <c r="M76" s="7">
        <v>3</v>
      </c>
      <c r="N76" s="75">
        <f t="shared" si="34"/>
        <v>23.030045351473923</v>
      </c>
      <c r="O76" s="75">
        <f t="shared" si="35"/>
        <v>132.95924535147392</v>
      </c>
      <c r="P76" s="75">
        <f t="shared" si="38"/>
        <v>40.153692096145122</v>
      </c>
      <c r="Q76" s="68">
        <f t="shared" si="37"/>
        <v>135.61843025850339</v>
      </c>
      <c r="R76" s="55">
        <v>13.2</v>
      </c>
      <c r="S76" s="55">
        <v>13.2</v>
      </c>
      <c r="T76" s="78">
        <f t="shared" si="29"/>
        <v>13.2</v>
      </c>
      <c r="U76" s="9">
        <f t="shared" si="30"/>
        <v>344.96141305759636</v>
      </c>
      <c r="V76" s="75">
        <f t="shared" si="36"/>
        <v>86.24035326439909</v>
      </c>
      <c r="W76" s="42">
        <v>431</v>
      </c>
      <c r="X76" s="71">
        <v>425.46918675396824</v>
      </c>
      <c r="Y76" s="60">
        <f t="shared" si="32"/>
        <v>1.0129993273736884</v>
      </c>
      <c r="Z76" s="60">
        <f t="shared" si="31"/>
        <v>1.2999327373688363E-2</v>
      </c>
      <c r="AA76" s="14"/>
      <c r="AC76" s="16"/>
      <c r="AD76" s="5"/>
      <c r="AE76" s="5"/>
      <c r="AF76" s="5"/>
      <c r="AG76" s="5"/>
      <c r="AH76" s="5"/>
    </row>
    <row r="77" spans="1:34" s="47" customFormat="1" ht="15" customHeight="1" x14ac:dyDescent="0.2">
      <c r="A77" s="36" t="s">
        <v>425</v>
      </c>
      <c r="B77" s="27" t="s">
        <v>31</v>
      </c>
      <c r="C77" s="21">
        <v>942048</v>
      </c>
      <c r="D77" s="7">
        <v>1500</v>
      </c>
      <c r="E77" s="7">
        <v>3</v>
      </c>
      <c r="F77" s="8">
        <f t="shared" si="33"/>
        <v>31.401600000000002</v>
      </c>
      <c r="G77" s="33">
        <v>471732</v>
      </c>
      <c r="H77" s="7">
        <v>1500</v>
      </c>
      <c r="I77" s="7">
        <v>2</v>
      </c>
      <c r="J77" s="8">
        <f t="shared" si="17"/>
        <v>10.482933333333333</v>
      </c>
      <c r="K77" s="7">
        <v>6500000</v>
      </c>
      <c r="L77" s="7">
        <v>846720</v>
      </c>
      <c r="M77" s="7">
        <v>2</v>
      </c>
      <c r="N77" s="75">
        <f t="shared" si="34"/>
        <v>15.353363567649282</v>
      </c>
      <c r="O77" s="75">
        <f t="shared" si="35"/>
        <v>57.237896900982619</v>
      </c>
      <c r="P77" s="75">
        <f t="shared" si="38"/>
        <v>17.285844864096749</v>
      </c>
      <c r="Q77" s="68">
        <f t="shared" si="37"/>
        <v>58.382654839002271</v>
      </c>
      <c r="R77" s="55">
        <v>6.2809999999999997</v>
      </c>
      <c r="S77" s="55">
        <v>6.2809999999999997</v>
      </c>
      <c r="T77" s="78">
        <f t="shared" si="29"/>
        <v>6.2809999999999997</v>
      </c>
      <c r="U77" s="9">
        <f t="shared" si="30"/>
        <v>154.54076017173094</v>
      </c>
      <c r="V77" s="75">
        <f t="shared" si="36"/>
        <v>38.635190042932734</v>
      </c>
      <c r="W77" s="42">
        <v>193</v>
      </c>
      <c r="X77" s="71">
        <v>190.69944006547618</v>
      </c>
      <c r="Y77" s="60">
        <f t="shared" si="32"/>
        <v>1.0120638001544939</v>
      </c>
      <c r="Z77" s="60">
        <f t="shared" si="31"/>
        <v>1.2063800154493931E-2</v>
      </c>
      <c r="AA77" s="14"/>
      <c r="AC77" s="16"/>
      <c r="AD77" s="5"/>
      <c r="AE77" s="5"/>
      <c r="AF77" s="5"/>
      <c r="AG77" s="5"/>
      <c r="AH77" s="5"/>
    </row>
    <row r="78" spans="1:34" s="47" customFormat="1" ht="15" customHeight="1" x14ac:dyDescent="0.2">
      <c r="A78" s="36" t="s">
        <v>426</v>
      </c>
      <c r="B78" s="27" t="s">
        <v>69</v>
      </c>
      <c r="C78" s="21">
        <v>942048</v>
      </c>
      <c r="D78" s="7">
        <v>1500</v>
      </c>
      <c r="E78" s="7">
        <v>6</v>
      </c>
      <c r="F78" s="8">
        <f t="shared" si="33"/>
        <v>62.803200000000004</v>
      </c>
      <c r="G78" s="33">
        <v>471732</v>
      </c>
      <c r="H78" s="7">
        <v>1500</v>
      </c>
      <c r="I78" s="7">
        <v>3</v>
      </c>
      <c r="J78" s="8">
        <f t="shared" si="17"/>
        <v>15.724399999999999</v>
      </c>
      <c r="K78" s="7">
        <v>6500000</v>
      </c>
      <c r="L78" s="7">
        <v>846720</v>
      </c>
      <c r="M78" s="7">
        <v>3</v>
      </c>
      <c r="N78" s="75">
        <f t="shared" si="34"/>
        <v>23.030045351473923</v>
      </c>
      <c r="O78" s="75">
        <f t="shared" si="35"/>
        <v>101.55764535147392</v>
      </c>
      <c r="P78" s="75">
        <f t="shared" si="38"/>
        <v>30.670408896145123</v>
      </c>
      <c r="Q78" s="68">
        <f t="shared" si="37"/>
        <v>103.5887982585034</v>
      </c>
      <c r="R78" s="55">
        <v>28.204000000000001</v>
      </c>
      <c r="S78" s="55">
        <v>28.204000000000001</v>
      </c>
      <c r="T78" s="78">
        <f t="shared" si="29"/>
        <v>28.204000000000001</v>
      </c>
      <c r="U78" s="9">
        <f t="shared" si="30"/>
        <v>287.05089785759634</v>
      </c>
      <c r="V78" s="75">
        <f t="shared" si="36"/>
        <v>71.762724464399085</v>
      </c>
      <c r="W78" s="42">
        <v>359</v>
      </c>
      <c r="X78" s="71">
        <v>344.88902675396821</v>
      </c>
      <c r="Y78" s="60">
        <f t="shared" si="32"/>
        <v>1.0409145323608631</v>
      </c>
      <c r="Z78" s="60">
        <f t="shared" si="31"/>
        <v>4.0914532360863065E-2</v>
      </c>
      <c r="AA78" s="14"/>
      <c r="AC78" s="16"/>
      <c r="AD78" s="5"/>
      <c r="AE78" s="5"/>
      <c r="AF78" s="5"/>
      <c r="AG78" s="5"/>
      <c r="AH78" s="5"/>
    </row>
    <row r="79" spans="1:34" s="47" customFormat="1" ht="15" customHeight="1" x14ac:dyDescent="0.2">
      <c r="A79" s="36" t="s">
        <v>427</v>
      </c>
      <c r="B79" s="27" t="s">
        <v>276</v>
      </c>
      <c r="C79" s="21">
        <v>942048</v>
      </c>
      <c r="D79" s="7">
        <v>1500</v>
      </c>
      <c r="E79" s="7">
        <v>8</v>
      </c>
      <c r="F79" s="8">
        <f t="shared" si="33"/>
        <v>83.7376</v>
      </c>
      <c r="G79" s="33">
        <v>471732</v>
      </c>
      <c r="H79" s="7">
        <v>1500</v>
      </c>
      <c r="I79" s="7">
        <v>4</v>
      </c>
      <c r="J79" s="8">
        <f t="shared" si="17"/>
        <v>20.965866666666667</v>
      </c>
      <c r="K79" s="7">
        <v>6500000</v>
      </c>
      <c r="L79" s="7">
        <v>846720</v>
      </c>
      <c r="M79" s="7">
        <v>4</v>
      </c>
      <c r="N79" s="75">
        <f t="shared" si="34"/>
        <v>30.706727135298564</v>
      </c>
      <c r="O79" s="75">
        <f t="shared" si="35"/>
        <v>135.41019380196525</v>
      </c>
      <c r="P79" s="75">
        <f t="shared" si="38"/>
        <v>40.893878528193504</v>
      </c>
      <c r="Q79" s="68">
        <f t="shared" si="37"/>
        <v>138.11839767800456</v>
      </c>
      <c r="R79" s="55">
        <v>28.204000000000001</v>
      </c>
      <c r="S79" s="55">
        <v>28.204000000000001</v>
      </c>
      <c r="T79" s="78">
        <f t="shared" si="29"/>
        <v>28.204000000000001</v>
      </c>
      <c r="U79" s="9">
        <f t="shared" si="30"/>
        <v>373.33319714346186</v>
      </c>
      <c r="V79" s="75">
        <f t="shared" si="36"/>
        <v>93.333299285865465</v>
      </c>
      <c r="W79" s="42">
        <v>467</v>
      </c>
      <c r="X79" s="71">
        <v>438.95014344246022</v>
      </c>
      <c r="Y79" s="60">
        <f t="shared" si="32"/>
        <v>1.0639021469216507</v>
      </c>
      <c r="Z79" s="60">
        <f t="shared" si="31"/>
        <v>6.3902146921650749E-2</v>
      </c>
      <c r="AA79" s="14"/>
      <c r="AC79" s="16"/>
      <c r="AD79" s="5"/>
      <c r="AE79" s="5"/>
      <c r="AF79" s="5"/>
      <c r="AG79" s="5"/>
      <c r="AH79" s="5"/>
    </row>
    <row r="80" spans="1:34" s="47" customFormat="1" ht="15" customHeight="1" x14ac:dyDescent="0.2">
      <c r="A80" s="36" t="s">
        <v>428</v>
      </c>
      <c r="B80" s="27" t="s">
        <v>277</v>
      </c>
      <c r="C80" s="21">
        <v>942048</v>
      </c>
      <c r="D80" s="7">
        <v>1500</v>
      </c>
      <c r="E80" s="7">
        <v>9</v>
      </c>
      <c r="F80" s="8">
        <f t="shared" si="33"/>
        <v>94.204800000000006</v>
      </c>
      <c r="G80" s="33">
        <v>471732</v>
      </c>
      <c r="H80" s="7">
        <v>1500</v>
      </c>
      <c r="I80" s="7">
        <v>3</v>
      </c>
      <c r="J80" s="8">
        <f>G80/H80/60*I80</f>
        <v>15.724399999999999</v>
      </c>
      <c r="K80" s="7">
        <v>6500000</v>
      </c>
      <c r="L80" s="7">
        <v>846720</v>
      </c>
      <c r="M80" s="7">
        <v>3</v>
      </c>
      <c r="N80" s="75">
        <f t="shared" si="34"/>
        <v>23.030045351473923</v>
      </c>
      <c r="O80" s="75">
        <f t="shared" si="35"/>
        <v>132.95924535147392</v>
      </c>
      <c r="P80" s="75">
        <f t="shared" si="38"/>
        <v>40.153692096145122</v>
      </c>
      <c r="Q80" s="68">
        <f t="shared" si="37"/>
        <v>135.61843025850339</v>
      </c>
      <c r="R80" s="55">
        <v>28.204000000000001</v>
      </c>
      <c r="S80" s="55">
        <v>28.204000000000001</v>
      </c>
      <c r="T80" s="78">
        <f t="shared" si="29"/>
        <v>28.204000000000001</v>
      </c>
      <c r="U80" s="9">
        <f t="shared" si="30"/>
        <v>359.96541305759638</v>
      </c>
      <c r="V80" s="75">
        <f t="shared" si="36"/>
        <v>89.991353264399095</v>
      </c>
      <c r="W80" s="42">
        <v>450</v>
      </c>
      <c r="X80" s="71">
        <v>430.90209875396818</v>
      </c>
      <c r="Y80" s="60">
        <f t="shared" si="32"/>
        <v>1.0443207431601214</v>
      </c>
      <c r="Z80" s="60">
        <f t="shared" si="31"/>
        <v>4.4320743160121356E-2</v>
      </c>
      <c r="AA80" s="14"/>
      <c r="AC80" s="16"/>
      <c r="AD80" s="5"/>
      <c r="AE80" s="5"/>
      <c r="AF80" s="5"/>
      <c r="AG80" s="5"/>
      <c r="AH80" s="5"/>
    </row>
    <row r="81" spans="1:34" s="47" customFormat="1" ht="15" customHeight="1" x14ac:dyDescent="0.2">
      <c r="A81" s="36" t="s">
        <v>429</v>
      </c>
      <c r="B81" s="27" t="s">
        <v>95</v>
      </c>
      <c r="C81" s="21">
        <v>942048</v>
      </c>
      <c r="D81" s="7">
        <v>1500</v>
      </c>
      <c r="E81" s="7">
        <v>9</v>
      </c>
      <c r="F81" s="8">
        <f t="shared" si="33"/>
        <v>94.204800000000006</v>
      </c>
      <c r="G81" s="33">
        <v>471732</v>
      </c>
      <c r="H81" s="7">
        <v>1500</v>
      </c>
      <c r="I81" s="7">
        <v>3</v>
      </c>
      <c r="J81" s="8">
        <f t="shared" si="17"/>
        <v>15.724399999999999</v>
      </c>
      <c r="K81" s="7">
        <v>6500000</v>
      </c>
      <c r="L81" s="7">
        <v>846720</v>
      </c>
      <c r="M81" s="7">
        <v>3</v>
      </c>
      <c r="N81" s="75">
        <f t="shared" si="34"/>
        <v>23.030045351473923</v>
      </c>
      <c r="O81" s="75">
        <f t="shared" si="35"/>
        <v>132.95924535147392</v>
      </c>
      <c r="P81" s="75">
        <f t="shared" si="38"/>
        <v>40.153692096145122</v>
      </c>
      <c r="Q81" s="68">
        <f t="shared" si="37"/>
        <v>135.61843025850339</v>
      </c>
      <c r="R81" s="55">
        <v>28.204000000000001</v>
      </c>
      <c r="S81" s="55">
        <v>28.204000000000001</v>
      </c>
      <c r="T81" s="78">
        <f t="shared" si="29"/>
        <v>28.204000000000001</v>
      </c>
      <c r="U81" s="9">
        <f t="shared" si="30"/>
        <v>359.96541305759638</v>
      </c>
      <c r="V81" s="75">
        <f t="shared" si="36"/>
        <v>89.991353264399095</v>
      </c>
      <c r="W81" s="42">
        <v>450</v>
      </c>
      <c r="X81" s="71">
        <v>444.2241867539683</v>
      </c>
      <c r="Y81" s="60">
        <f t="shared" si="32"/>
        <v>1.013002023343746</v>
      </c>
      <c r="Z81" s="60">
        <f t="shared" si="31"/>
        <v>1.3002023343746005E-2</v>
      </c>
      <c r="AA81" s="14"/>
      <c r="AC81" s="16"/>
      <c r="AD81" s="5"/>
      <c r="AE81" s="5"/>
      <c r="AF81" s="5"/>
      <c r="AG81" s="5"/>
      <c r="AH81" s="5"/>
    </row>
    <row r="82" spans="1:34" s="47" customFormat="1" ht="15" customHeight="1" x14ac:dyDescent="0.2">
      <c r="A82" s="36" t="s">
        <v>430</v>
      </c>
      <c r="B82" s="27" t="s">
        <v>96</v>
      </c>
      <c r="C82" s="21">
        <v>942048</v>
      </c>
      <c r="D82" s="7">
        <v>1500</v>
      </c>
      <c r="E82" s="7">
        <v>6</v>
      </c>
      <c r="F82" s="8">
        <f t="shared" si="33"/>
        <v>62.803200000000004</v>
      </c>
      <c r="G82" s="33">
        <v>471732</v>
      </c>
      <c r="H82" s="7">
        <v>1500</v>
      </c>
      <c r="I82" s="7">
        <v>3</v>
      </c>
      <c r="J82" s="8">
        <f t="shared" si="17"/>
        <v>15.724399999999999</v>
      </c>
      <c r="K82" s="7">
        <v>6500000</v>
      </c>
      <c r="L82" s="7">
        <v>846720</v>
      </c>
      <c r="M82" s="7">
        <v>4</v>
      </c>
      <c r="N82" s="75">
        <f t="shared" si="34"/>
        <v>30.706727135298564</v>
      </c>
      <c r="O82" s="75">
        <f t="shared" si="35"/>
        <v>109.23432713529857</v>
      </c>
      <c r="P82" s="75">
        <f t="shared" si="38"/>
        <v>32.988766794860169</v>
      </c>
      <c r="Q82" s="68">
        <f t="shared" si="37"/>
        <v>111.41901367800455</v>
      </c>
      <c r="R82" s="55">
        <v>28.204000000000001</v>
      </c>
      <c r="S82" s="55">
        <v>28.204000000000001</v>
      </c>
      <c r="T82" s="78">
        <f t="shared" si="29"/>
        <v>28.204000000000001</v>
      </c>
      <c r="U82" s="9">
        <f t="shared" si="30"/>
        <v>312.55283474346186</v>
      </c>
      <c r="V82" s="75">
        <f t="shared" si="36"/>
        <v>78.138208685865465</v>
      </c>
      <c r="W82" s="42">
        <v>391</v>
      </c>
      <c r="X82" s="71">
        <v>379.58124744246038</v>
      </c>
      <c r="Y82" s="60">
        <f t="shared" si="32"/>
        <v>1.0300824991605271</v>
      </c>
      <c r="Z82" s="60">
        <f t="shared" si="31"/>
        <v>3.0082499160527076E-2</v>
      </c>
      <c r="AA82" s="14"/>
      <c r="AC82" s="16"/>
      <c r="AD82" s="5"/>
      <c r="AE82" s="5"/>
      <c r="AF82" s="5"/>
      <c r="AG82" s="5"/>
      <c r="AH82" s="5"/>
    </row>
    <row r="83" spans="1:34" s="47" customFormat="1" ht="15" customHeight="1" x14ac:dyDescent="0.2">
      <c r="A83" s="36" t="s">
        <v>431</v>
      </c>
      <c r="B83" s="27" t="s">
        <v>97</v>
      </c>
      <c r="C83" s="21">
        <v>942048</v>
      </c>
      <c r="D83" s="7">
        <v>1500</v>
      </c>
      <c r="E83" s="7">
        <v>10</v>
      </c>
      <c r="F83" s="8">
        <f t="shared" si="33"/>
        <v>104.672</v>
      </c>
      <c r="G83" s="33">
        <v>471732</v>
      </c>
      <c r="H83" s="7">
        <v>1500</v>
      </c>
      <c r="I83" s="7">
        <v>6</v>
      </c>
      <c r="J83" s="8">
        <f t="shared" si="17"/>
        <v>31.448799999999999</v>
      </c>
      <c r="K83" s="7">
        <v>6500000</v>
      </c>
      <c r="L83" s="7">
        <v>846720</v>
      </c>
      <c r="M83" s="7">
        <v>5</v>
      </c>
      <c r="N83" s="75">
        <f t="shared" si="34"/>
        <v>38.383408919123205</v>
      </c>
      <c r="O83" s="75">
        <f t="shared" si="35"/>
        <v>174.50420891912322</v>
      </c>
      <c r="P83" s="75">
        <f t="shared" si="38"/>
        <v>52.700271093575211</v>
      </c>
      <c r="Q83" s="68">
        <f t="shared" si="37"/>
        <v>177.99429309750568</v>
      </c>
      <c r="R83" s="55">
        <v>28.204000000000001</v>
      </c>
      <c r="S83" s="55">
        <v>28.204000000000001</v>
      </c>
      <c r="T83" s="78">
        <f t="shared" si="29"/>
        <v>28.204000000000001</v>
      </c>
      <c r="U83" s="9">
        <f t="shared" si="30"/>
        <v>471.78618202932734</v>
      </c>
      <c r="V83" s="75">
        <f t="shared" si="36"/>
        <v>117.94654550733183</v>
      </c>
      <c r="W83" s="42">
        <v>590</v>
      </c>
      <c r="X83" s="71">
        <v>579.37229750793642</v>
      </c>
      <c r="Y83" s="60">
        <f t="shared" si="32"/>
        <v>1.0183434771351283</v>
      </c>
      <c r="Z83" s="60">
        <f t="shared" si="31"/>
        <v>1.8343477135128294E-2</v>
      </c>
      <c r="AA83" s="14"/>
      <c r="AC83" s="16"/>
      <c r="AD83" s="5"/>
      <c r="AE83" s="5"/>
      <c r="AF83" s="5"/>
      <c r="AG83" s="5"/>
      <c r="AH83" s="5"/>
    </row>
    <row r="84" spans="1:34" s="47" customFormat="1" ht="15" customHeight="1" x14ac:dyDescent="0.2">
      <c r="A84" s="36" t="s">
        <v>432</v>
      </c>
      <c r="B84" s="27" t="s">
        <v>100</v>
      </c>
      <c r="C84" s="21">
        <v>942048</v>
      </c>
      <c r="D84" s="7">
        <v>1500</v>
      </c>
      <c r="E84" s="7">
        <v>7</v>
      </c>
      <c r="F84" s="8">
        <f t="shared" si="33"/>
        <v>73.270399999999995</v>
      </c>
      <c r="G84" s="33">
        <v>471732</v>
      </c>
      <c r="H84" s="7">
        <v>1500</v>
      </c>
      <c r="I84" s="7">
        <v>5</v>
      </c>
      <c r="J84" s="8">
        <f t="shared" si="17"/>
        <v>26.207333333333334</v>
      </c>
      <c r="K84" s="7">
        <v>6500000</v>
      </c>
      <c r="L84" s="7">
        <v>846720</v>
      </c>
      <c r="M84" s="7">
        <v>5</v>
      </c>
      <c r="N84" s="75">
        <f t="shared" si="34"/>
        <v>38.383408919123205</v>
      </c>
      <c r="O84" s="75">
        <f t="shared" si="35"/>
        <v>137.86114225245655</v>
      </c>
      <c r="P84" s="75">
        <f t="shared" si="38"/>
        <v>41.634064960241872</v>
      </c>
      <c r="Q84" s="68">
        <f t="shared" si="37"/>
        <v>140.61836509750569</v>
      </c>
      <c r="R84" s="55">
        <v>28.204000000000001</v>
      </c>
      <c r="S84" s="55">
        <v>28.204000000000001</v>
      </c>
      <c r="T84" s="78">
        <f t="shared" si="29"/>
        <v>28.204000000000001</v>
      </c>
      <c r="U84" s="9">
        <f t="shared" si="30"/>
        <v>386.70098122932728</v>
      </c>
      <c r="V84" s="75">
        <f t="shared" si="36"/>
        <v>96.675245307331821</v>
      </c>
      <c r="W84" s="42">
        <v>483</v>
      </c>
      <c r="X84" s="71">
        <v>471.98909281944441</v>
      </c>
      <c r="Y84" s="60">
        <f t="shared" si="32"/>
        <v>1.0233287322695988</v>
      </c>
      <c r="Z84" s="60">
        <f t="shared" si="31"/>
        <v>2.3328732269598751E-2</v>
      </c>
      <c r="AA84" s="14"/>
      <c r="AC84" s="16"/>
      <c r="AD84" s="5"/>
      <c r="AE84" s="5"/>
      <c r="AF84" s="5"/>
      <c r="AG84" s="5"/>
      <c r="AH84" s="5"/>
    </row>
    <row r="85" spans="1:34" s="47" customFormat="1" ht="15" customHeight="1" x14ac:dyDescent="0.2">
      <c r="A85" s="36" t="s">
        <v>433</v>
      </c>
      <c r="B85" s="27" t="s">
        <v>98</v>
      </c>
      <c r="C85" s="21">
        <v>942048</v>
      </c>
      <c r="D85" s="7">
        <v>1500</v>
      </c>
      <c r="E85" s="7">
        <v>6</v>
      </c>
      <c r="F85" s="8">
        <f t="shared" si="33"/>
        <v>62.803200000000004</v>
      </c>
      <c r="G85" s="33">
        <v>471732</v>
      </c>
      <c r="H85" s="7">
        <v>1500</v>
      </c>
      <c r="I85" s="7">
        <v>2</v>
      </c>
      <c r="J85" s="8">
        <f t="shared" si="17"/>
        <v>10.482933333333333</v>
      </c>
      <c r="K85" s="7">
        <v>110000</v>
      </c>
      <c r="L85" s="7">
        <v>846720</v>
      </c>
      <c r="M85" s="7">
        <v>2</v>
      </c>
      <c r="N85" s="75">
        <f t="shared" si="34"/>
        <v>0.25982615268329556</v>
      </c>
      <c r="O85" s="75">
        <f t="shared" si="35"/>
        <v>73.545959486016628</v>
      </c>
      <c r="P85" s="75">
        <f t="shared" si="38"/>
        <v>22.210879764777022</v>
      </c>
      <c r="Q85" s="68">
        <f t="shared" si="37"/>
        <v>75.016878675736962</v>
      </c>
      <c r="R85" s="55">
        <v>0.88000000000000012</v>
      </c>
      <c r="S85" s="55">
        <v>0.88000000000000012</v>
      </c>
      <c r="T85" s="78">
        <f t="shared" si="29"/>
        <v>0.88000000000000012</v>
      </c>
      <c r="U85" s="9">
        <f t="shared" si="30"/>
        <v>171.91354407921389</v>
      </c>
      <c r="V85" s="75">
        <f t="shared" si="36"/>
        <v>42.978386019803473</v>
      </c>
      <c r="W85" s="42">
        <v>215</v>
      </c>
      <c r="X85" s="71">
        <v>214.62872824754351</v>
      </c>
      <c r="Y85" s="60">
        <f t="shared" si="32"/>
        <v>1.0017298325135127</v>
      </c>
      <c r="Z85" s="60">
        <f t="shared" si="31"/>
        <v>1.7298325135126635E-3</v>
      </c>
      <c r="AA85" s="14"/>
      <c r="AC85" s="16"/>
      <c r="AD85" s="5"/>
      <c r="AE85" s="5"/>
      <c r="AF85" s="5"/>
      <c r="AG85" s="5"/>
      <c r="AH85" s="5"/>
    </row>
    <row r="86" spans="1:34" s="47" customFormat="1" ht="15" customHeight="1" x14ac:dyDescent="0.2">
      <c r="A86" s="36" t="s">
        <v>434</v>
      </c>
      <c r="B86" s="27" t="s">
        <v>99</v>
      </c>
      <c r="C86" s="21">
        <v>942048</v>
      </c>
      <c r="D86" s="7">
        <v>1500</v>
      </c>
      <c r="E86" s="7">
        <v>8</v>
      </c>
      <c r="F86" s="8">
        <f t="shared" si="33"/>
        <v>83.7376</v>
      </c>
      <c r="G86" s="33">
        <v>471732</v>
      </c>
      <c r="H86" s="7">
        <v>1500</v>
      </c>
      <c r="I86" s="7">
        <v>4</v>
      </c>
      <c r="J86" s="8">
        <f t="shared" si="17"/>
        <v>20.965866666666667</v>
      </c>
      <c r="K86" s="7">
        <v>6500000</v>
      </c>
      <c r="L86" s="7">
        <v>846720</v>
      </c>
      <c r="M86" s="7">
        <v>4</v>
      </c>
      <c r="N86" s="75">
        <f t="shared" si="34"/>
        <v>30.706727135298564</v>
      </c>
      <c r="O86" s="75">
        <f t="shared" si="35"/>
        <v>135.41019380196525</v>
      </c>
      <c r="P86" s="75">
        <f t="shared" si="38"/>
        <v>40.893878528193504</v>
      </c>
      <c r="Q86" s="68">
        <f t="shared" si="37"/>
        <v>138.11839767800456</v>
      </c>
      <c r="R86" s="55">
        <v>13.2</v>
      </c>
      <c r="S86" s="55">
        <v>13.2</v>
      </c>
      <c r="T86" s="78">
        <f t="shared" si="29"/>
        <v>13.2</v>
      </c>
      <c r="U86" s="9">
        <f t="shared" si="30"/>
        <v>358.32919714346184</v>
      </c>
      <c r="V86" s="75">
        <f t="shared" si="36"/>
        <v>89.58229928586546</v>
      </c>
      <c r="W86" s="42">
        <v>448</v>
      </c>
      <c r="X86" s="71">
        <v>444.87181875396823</v>
      </c>
      <c r="Y86" s="60">
        <f t="shared" si="32"/>
        <v>1.0070316462274311</v>
      </c>
      <c r="Z86" s="60">
        <f t="shared" si="31"/>
        <v>7.031646227431132E-3</v>
      </c>
      <c r="AA86" s="14"/>
      <c r="AC86" s="16"/>
      <c r="AD86" s="5"/>
      <c r="AE86" s="5"/>
      <c r="AF86" s="5"/>
      <c r="AG86" s="5"/>
      <c r="AH86" s="5"/>
    </row>
    <row r="87" spans="1:34" s="47" customFormat="1" ht="15" customHeight="1" x14ac:dyDescent="0.2">
      <c r="A87" s="36" t="s">
        <v>435</v>
      </c>
      <c r="B87" s="27" t="s">
        <v>101</v>
      </c>
      <c r="C87" s="21">
        <v>942048</v>
      </c>
      <c r="D87" s="7">
        <v>1500</v>
      </c>
      <c r="E87" s="7">
        <v>10</v>
      </c>
      <c r="F87" s="8">
        <f t="shared" si="33"/>
        <v>104.672</v>
      </c>
      <c r="G87" s="33">
        <v>471732</v>
      </c>
      <c r="H87" s="7">
        <v>1500</v>
      </c>
      <c r="I87" s="7">
        <v>10</v>
      </c>
      <c r="J87" s="8">
        <f t="shared" si="17"/>
        <v>52.414666666666669</v>
      </c>
      <c r="K87" s="7">
        <v>6500000</v>
      </c>
      <c r="L87" s="7">
        <v>846720</v>
      </c>
      <c r="M87" s="7">
        <v>10</v>
      </c>
      <c r="N87" s="75">
        <f t="shared" si="34"/>
        <v>76.766817838246411</v>
      </c>
      <c r="O87" s="75">
        <f t="shared" si="35"/>
        <v>233.85348450491307</v>
      </c>
      <c r="P87" s="75">
        <f t="shared" si="38"/>
        <v>70.623752320483746</v>
      </c>
      <c r="Q87" s="68">
        <f t="shared" si="37"/>
        <v>238.53055419501135</v>
      </c>
      <c r="R87" s="55">
        <v>26.84</v>
      </c>
      <c r="S87" s="55">
        <v>26.84</v>
      </c>
      <c r="T87" s="78">
        <f t="shared" si="29"/>
        <v>26.84</v>
      </c>
      <c r="U87" s="9">
        <f t="shared" si="30"/>
        <v>646.61460885865461</v>
      </c>
      <c r="V87" s="75">
        <f t="shared" si="36"/>
        <v>161.65365221466365</v>
      </c>
      <c r="W87" s="42">
        <v>808</v>
      </c>
      <c r="X87" s="71">
        <v>760.51548757341277</v>
      </c>
      <c r="Y87" s="60">
        <f t="shared" si="32"/>
        <v>1.0624372720904038</v>
      </c>
      <c r="Z87" s="60">
        <f t="shared" si="31"/>
        <v>6.2437272090403839E-2</v>
      </c>
      <c r="AA87" s="14"/>
      <c r="AC87" s="16"/>
      <c r="AD87" s="5"/>
      <c r="AE87" s="5"/>
      <c r="AF87" s="5"/>
      <c r="AG87" s="5"/>
      <c r="AH87" s="5"/>
    </row>
    <row r="88" spans="1:34" s="47" customFormat="1" ht="15" customHeight="1" x14ac:dyDescent="0.2">
      <c r="A88" s="36" t="s">
        <v>436</v>
      </c>
      <c r="B88" s="27" t="s">
        <v>162</v>
      </c>
      <c r="C88" s="21">
        <v>942048</v>
      </c>
      <c r="D88" s="7">
        <v>1500</v>
      </c>
      <c r="E88" s="7">
        <v>6</v>
      </c>
      <c r="F88" s="8">
        <f t="shared" si="33"/>
        <v>62.803200000000004</v>
      </c>
      <c r="G88" s="33">
        <v>471732</v>
      </c>
      <c r="H88" s="7">
        <v>1500</v>
      </c>
      <c r="I88" s="7">
        <v>3</v>
      </c>
      <c r="J88" s="8">
        <f t="shared" si="17"/>
        <v>15.724399999999999</v>
      </c>
      <c r="K88" s="7">
        <v>6500000</v>
      </c>
      <c r="L88" s="7">
        <v>846720</v>
      </c>
      <c r="M88" s="7">
        <v>3</v>
      </c>
      <c r="N88" s="75">
        <f t="shared" si="34"/>
        <v>23.030045351473923</v>
      </c>
      <c r="O88" s="75">
        <f t="shared" si="35"/>
        <v>101.55764535147392</v>
      </c>
      <c r="P88" s="75">
        <f t="shared" si="38"/>
        <v>30.670408896145123</v>
      </c>
      <c r="Q88" s="68">
        <f t="shared" si="37"/>
        <v>103.5887982585034</v>
      </c>
      <c r="R88" s="55">
        <v>6.0280000000000005</v>
      </c>
      <c r="S88" s="55">
        <v>6.0280000000000005</v>
      </c>
      <c r="T88" s="78">
        <f t="shared" si="29"/>
        <v>6.0280000000000005</v>
      </c>
      <c r="U88" s="9">
        <f t="shared" si="30"/>
        <v>264.87489785759635</v>
      </c>
      <c r="V88" s="75">
        <f t="shared" si="36"/>
        <v>66.218724464399088</v>
      </c>
      <c r="W88" s="42">
        <v>331</v>
      </c>
      <c r="X88" s="71">
        <v>317.16902675396818</v>
      </c>
      <c r="Y88" s="60">
        <f t="shared" si="32"/>
        <v>1.0436075785444228</v>
      </c>
      <c r="Z88" s="60">
        <f t="shared" si="31"/>
        <v>4.3607578544422765E-2</v>
      </c>
      <c r="AA88" s="14"/>
      <c r="AC88" s="16"/>
      <c r="AD88" s="5"/>
      <c r="AE88" s="5"/>
      <c r="AF88" s="5"/>
      <c r="AG88" s="5"/>
      <c r="AH88" s="5"/>
    </row>
    <row r="89" spans="1:34" s="47" customFormat="1" ht="15" customHeight="1" x14ac:dyDescent="0.2">
      <c r="A89" s="36" t="s">
        <v>437</v>
      </c>
      <c r="B89" s="27" t="s">
        <v>163</v>
      </c>
      <c r="C89" s="21">
        <v>942048</v>
      </c>
      <c r="D89" s="7">
        <v>1500</v>
      </c>
      <c r="E89" s="7">
        <v>6</v>
      </c>
      <c r="F89" s="8">
        <f t="shared" si="33"/>
        <v>62.803200000000004</v>
      </c>
      <c r="G89" s="33">
        <v>471732</v>
      </c>
      <c r="H89" s="7">
        <v>1500</v>
      </c>
      <c r="I89" s="7">
        <v>4</v>
      </c>
      <c r="J89" s="8">
        <f t="shared" si="17"/>
        <v>20.965866666666667</v>
      </c>
      <c r="K89" s="7">
        <v>6500000</v>
      </c>
      <c r="L89" s="7">
        <v>846720</v>
      </c>
      <c r="M89" s="7">
        <v>4</v>
      </c>
      <c r="N89" s="75">
        <f t="shared" si="34"/>
        <v>30.706727135298564</v>
      </c>
      <c r="O89" s="75">
        <f t="shared" si="35"/>
        <v>114.47579380196524</v>
      </c>
      <c r="P89" s="75">
        <f t="shared" si="38"/>
        <v>34.571689728193498</v>
      </c>
      <c r="Q89" s="68">
        <f t="shared" si="37"/>
        <v>116.76530967800454</v>
      </c>
      <c r="R89" s="55">
        <f>25.64*2</f>
        <v>51.28</v>
      </c>
      <c r="S89" s="55">
        <v>51.28</v>
      </c>
      <c r="T89" s="78">
        <f t="shared" si="29"/>
        <v>51.28</v>
      </c>
      <c r="U89" s="9">
        <f t="shared" si="30"/>
        <v>347.79952034346184</v>
      </c>
      <c r="V89" s="75">
        <f t="shared" si="36"/>
        <v>86.949880085865459</v>
      </c>
      <c r="W89" s="42">
        <v>435</v>
      </c>
      <c r="X89" s="71">
        <v>431.44965144246032</v>
      </c>
      <c r="Y89" s="60">
        <f t="shared" si="32"/>
        <v>1.0082288826649177</v>
      </c>
      <c r="Z89" s="60">
        <f t="shared" si="31"/>
        <v>8.2288826649177249E-3</v>
      </c>
      <c r="AA89" s="14"/>
      <c r="AC89" s="16"/>
      <c r="AD89" s="5"/>
      <c r="AE89" s="5"/>
      <c r="AF89" s="5"/>
      <c r="AG89" s="5"/>
      <c r="AH89" s="5"/>
    </row>
    <row r="90" spans="1:34" s="47" customFormat="1" ht="15" customHeight="1" x14ac:dyDescent="0.2">
      <c r="A90" s="36" t="s">
        <v>438</v>
      </c>
      <c r="B90" s="27" t="s">
        <v>164</v>
      </c>
      <c r="C90" s="21">
        <v>942048</v>
      </c>
      <c r="D90" s="7">
        <v>1500</v>
      </c>
      <c r="E90" s="7">
        <v>5</v>
      </c>
      <c r="F90" s="8">
        <f t="shared" si="33"/>
        <v>52.335999999999999</v>
      </c>
      <c r="G90" s="33">
        <v>471732</v>
      </c>
      <c r="H90" s="7">
        <v>1500</v>
      </c>
      <c r="I90" s="7">
        <v>1</v>
      </c>
      <c r="J90" s="8">
        <f t="shared" si="17"/>
        <v>5.2414666666666667</v>
      </c>
      <c r="K90" s="7">
        <v>6500000</v>
      </c>
      <c r="L90" s="7">
        <v>846720</v>
      </c>
      <c r="M90" s="7">
        <v>2</v>
      </c>
      <c r="N90" s="75">
        <f t="shared" si="34"/>
        <v>15.353363567649282</v>
      </c>
      <c r="O90" s="75">
        <f t="shared" si="35"/>
        <v>72.930830234315948</v>
      </c>
      <c r="P90" s="75">
        <f t="shared" si="38"/>
        <v>22.025110730763416</v>
      </c>
      <c r="Q90" s="68">
        <f t="shared" si="37"/>
        <v>74.389446839002275</v>
      </c>
      <c r="R90" s="55">
        <v>23.1</v>
      </c>
      <c r="S90" s="55">
        <v>23.1</v>
      </c>
      <c r="T90" s="78">
        <f t="shared" si="29"/>
        <v>23.1</v>
      </c>
      <c r="U90" s="9">
        <f t="shared" si="30"/>
        <v>207.7987513717309</v>
      </c>
      <c r="V90" s="75">
        <f t="shared" si="36"/>
        <v>51.949687842932725</v>
      </c>
      <c r="W90" s="42">
        <v>260</v>
      </c>
      <c r="X90" s="71">
        <v>248.06868206547617</v>
      </c>
      <c r="Y90" s="60">
        <f t="shared" si="32"/>
        <v>1.0480968328415379</v>
      </c>
      <c r="Z90" s="60">
        <f t="shared" si="31"/>
        <v>4.8096832841537873E-2</v>
      </c>
      <c r="AA90" s="14"/>
      <c r="AC90" s="16"/>
      <c r="AD90" s="5"/>
      <c r="AE90" s="5"/>
      <c r="AF90" s="5"/>
      <c r="AG90" s="5"/>
      <c r="AH90" s="5"/>
    </row>
    <row r="91" spans="1:34" ht="15" customHeight="1" x14ac:dyDescent="0.2">
      <c r="A91" s="36" t="s">
        <v>439</v>
      </c>
      <c r="B91" s="27" t="s">
        <v>165</v>
      </c>
      <c r="C91" s="21">
        <v>942048</v>
      </c>
      <c r="D91" s="7">
        <v>1500</v>
      </c>
      <c r="E91" s="7">
        <v>8</v>
      </c>
      <c r="F91" s="8">
        <f t="shared" si="33"/>
        <v>83.7376</v>
      </c>
      <c r="G91" s="33">
        <v>471732</v>
      </c>
      <c r="H91" s="7">
        <v>1500</v>
      </c>
      <c r="I91" s="7">
        <v>3</v>
      </c>
      <c r="J91" s="8">
        <f t="shared" si="17"/>
        <v>15.724399999999999</v>
      </c>
      <c r="K91" s="7">
        <v>6500000</v>
      </c>
      <c r="L91" s="7">
        <v>846720</v>
      </c>
      <c r="M91" s="7">
        <v>4</v>
      </c>
      <c r="N91" s="75">
        <f t="shared" si="34"/>
        <v>30.706727135298564</v>
      </c>
      <c r="O91" s="75">
        <f t="shared" si="35"/>
        <v>130.16872713529858</v>
      </c>
      <c r="P91" s="75">
        <f t="shared" si="38"/>
        <v>39.310955594860168</v>
      </c>
      <c r="Q91" s="68">
        <f t="shared" si="37"/>
        <v>132.77210167800456</v>
      </c>
      <c r="R91" s="55">
        <v>13.2</v>
      </c>
      <c r="S91" s="55">
        <v>13.2</v>
      </c>
      <c r="T91" s="78">
        <f t="shared" si="29"/>
        <v>13.2</v>
      </c>
      <c r="U91" s="9">
        <f t="shared" si="30"/>
        <v>346.15851154346188</v>
      </c>
      <c r="V91" s="75">
        <f t="shared" si="36"/>
        <v>86.539627885865471</v>
      </c>
      <c r="W91" s="42">
        <v>433</v>
      </c>
      <c r="X91" s="71">
        <v>426.58991681944434</v>
      </c>
      <c r="Y91" s="60">
        <f t="shared" si="32"/>
        <v>1.0150263354285252</v>
      </c>
      <c r="Z91" s="60">
        <f t="shared" si="31"/>
        <v>1.5026335428525162E-2</v>
      </c>
      <c r="AA91" s="14"/>
    </row>
    <row r="92" spans="1:34" ht="15" customHeight="1" x14ac:dyDescent="0.2">
      <c r="A92" s="36" t="s">
        <v>440</v>
      </c>
      <c r="B92" s="27" t="s">
        <v>166</v>
      </c>
      <c r="C92" s="21">
        <v>942048</v>
      </c>
      <c r="D92" s="7">
        <v>1500</v>
      </c>
      <c r="E92" s="7">
        <v>10</v>
      </c>
      <c r="F92" s="8">
        <f t="shared" si="33"/>
        <v>104.672</v>
      </c>
      <c r="G92" s="33">
        <v>471732</v>
      </c>
      <c r="H92" s="7">
        <v>1500</v>
      </c>
      <c r="I92" s="7">
        <v>7</v>
      </c>
      <c r="J92" s="8">
        <f t="shared" si="17"/>
        <v>36.690266666666666</v>
      </c>
      <c r="K92" s="7">
        <v>6500000</v>
      </c>
      <c r="L92" s="7">
        <v>846720</v>
      </c>
      <c r="M92" s="7">
        <v>7</v>
      </c>
      <c r="N92" s="75">
        <f t="shared" si="34"/>
        <v>53.736772486772487</v>
      </c>
      <c r="O92" s="75">
        <f t="shared" si="35"/>
        <v>195.09903915343915</v>
      </c>
      <c r="P92" s="75">
        <f t="shared" si="38"/>
        <v>58.919909824338625</v>
      </c>
      <c r="Q92" s="68">
        <f t="shared" si="37"/>
        <v>199.00101993650793</v>
      </c>
      <c r="R92" s="55">
        <v>26.4</v>
      </c>
      <c r="S92" s="55">
        <v>26.4</v>
      </c>
      <c r="T92" s="78">
        <f t="shared" si="29"/>
        <v>26.4</v>
      </c>
      <c r="U92" s="9">
        <f t="shared" si="30"/>
        <v>533.15674140105818</v>
      </c>
      <c r="V92" s="75">
        <f t="shared" si="36"/>
        <v>133.28918535026455</v>
      </c>
      <c r="W92" s="42">
        <v>666</v>
      </c>
      <c r="X92" s="71">
        <v>655.88882550793642</v>
      </c>
      <c r="Y92" s="60">
        <f t="shared" si="32"/>
        <v>1.0154159883486857</v>
      </c>
      <c r="Z92" s="60">
        <f t="shared" si="31"/>
        <v>1.5415988348685739E-2</v>
      </c>
      <c r="AA92" s="14"/>
    </row>
    <row r="93" spans="1:34" ht="15" customHeight="1" x14ac:dyDescent="0.2">
      <c r="A93" s="36" t="s">
        <v>441</v>
      </c>
      <c r="B93" s="27" t="s">
        <v>167</v>
      </c>
      <c r="C93" s="21">
        <v>942048</v>
      </c>
      <c r="D93" s="7">
        <v>1500</v>
      </c>
      <c r="E93" s="7">
        <v>7</v>
      </c>
      <c r="F93" s="8">
        <f t="shared" si="33"/>
        <v>73.270399999999995</v>
      </c>
      <c r="G93" s="33">
        <v>471732</v>
      </c>
      <c r="H93" s="7">
        <v>1500</v>
      </c>
      <c r="I93" s="7">
        <v>4</v>
      </c>
      <c r="J93" s="8">
        <f t="shared" si="17"/>
        <v>20.965866666666667</v>
      </c>
      <c r="K93" s="7">
        <v>6500000</v>
      </c>
      <c r="L93" s="7">
        <v>846720</v>
      </c>
      <c r="M93" s="7">
        <v>5</v>
      </c>
      <c r="N93" s="75">
        <f t="shared" si="34"/>
        <v>38.383408919123205</v>
      </c>
      <c r="O93" s="75">
        <f t="shared" si="35"/>
        <v>132.61967558578988</v>
      </c>
      <c r="P93" s="75">
        <f t="shared" si="38"/>
        <v>40.051142026908543</v>
      </c>
      <c r="Q93" s="68">
        <f t="shared" si="37"/>
        <v>135.27206909750566</v>
      </c>
      <c r="R93" s="55">
        <v>13.2</v>
      </c>
      <c r="S93" s="55">
        <v>13.2</v>
      </c>
      <c r="T93" s="78">
        <f t="shared" si="29"/>
        <v>13.2</v>
      </c>
      <c r="U93" s="9">
        <f t="shared" si="30"/>
        <v>359.52629562932731</v>
      </c>
      <c r="V93" s="75">
        <f t="shared" si="36"/>
        <v>89.881573907331827</v>
      </c>
      <c r="W93" s="42">
        <v>449</v>
      </c>
      <c r="X93" s="71">
        <v>431.86396013095242</v>
      </c>
      <c r="Y93" s="60">
        <f t="shared" si="32"/>
        <v>1.0396792542351798</v>
      </c>
      <c r="Z93" s="60">
        <f t="shared" si="31"/>
        <v>3.9679254235179817E-2</v>
      </c>
      <c r="AA93" s="14"/>
    </row>
    <row r="94" spans="1:34" ht="15" customHeight="1" x14ac:dyDescent="0.2">
      <c r="A94" s="36" t="s">
        <v>442</v>
      </c>
      <c r="B94" s="27" t="s">
        <v>168</v>
      </c>
      <c r="C94" s="21">
        <v>942048</v>
      </c>
      <c r="D94" s="7">
        <v>1500</v>
      </c>
      <c r="E94" s="7">
        <v>12</v>
      </c>
      <c r="F94" s="8">
        <f t="shared" si="33"/>
        <v>125.60640000000001</v>
      </c>
      <c r="G94" s="33">
        <v>471732</v>
      </c>
      <c r="H94" s="7">
        <v>1500</v>
      </c>
      <c r="I94" s="7">
        <v>7</v>
      </c>
      <c r="J94" s="8">
        <f t="shared" si="17"/>
        <v>36.690266666666666</v>
      </c>
      <c r="K94" s="7">
        <v>6500000</v>
      </c>
      <c r="L94" s="7">
        <v>846720</v>
      </c>
      <c r="M94" s="7">
        <v>6</v>
      </c>
      <c r="N94" s="75">
        <f t="shared" si="34"/>
        <v>46.060090702947846</v>
      </c>
      <c r="O94" s="75">
        <f t="shared" si="35"/>
        <v>208.35675736961451</v>
      </c>
      <c r="P94" s="75">
        <f t="shared" si="38"/>
        <v>62.923740725623581</v>
      </c>
      <c r="Q94" s="68">
        <f t="shared" si="37"/>
        <v>212.5238925170068</v>
      </c>
      <c r="R94" s="55">
        <v>26.4</v>
      </c>
      <c r="S94" s="55">
        <v>26.4</v>
      </c>
      <c r="T94" s="78">
        <f t="shared" si="29"/>
        <v>26.4</v>
      </c>
      <c r="U94" s="9">
        <f t="shared" si="30"/>
        <v>556.26448131519271</v>
      </c>
      <c r="V94" s="75">
        <f t="shared" si="36"/>
        <v>139.06612032879818</v>
      </c>
      <c r="W94" s="42">
        <v>695</v>
      </c>
      <c r="X94" s="71">
        <v>656.20305488492045</v>
      </c>
      <c r="Y94" s="60">
        <f t="shared" si="32"/>
        <v>1.059123383876784</v>
      </c>
      <c r="Z94" s="60">
        <f t="shared" si="31"/>
        <v>5.9123383876783953E-2</v>
      </c>
      <c r="AA94" s="14"/>
    </row>
    <row r="95" spans="1:34" ht="15" customHeight="1" x14ac:dyDescent="0.2">
      <c r="A95" s="36" t="s">
        <v>859</v>
      </c>
      <c r="B95" s="27" t="s">
        <v>278</v>
      </c>
      <c r="C95" s="21">
        <v>942048</v>
      </c>
      <c r="D95" s="7">
        <v>1500</v>
      </c>
      <c r="E95" s="7">
        <v>7</v>
      </c>
      <c r="F95" s="8">
        <f t="shared" si="33"/>
        <v>73.270399999999995</v>
      </c>
      <c r="G95" s="33">
        <v>471732</v>
      </c>
      <c r="H95" s="7">
        <v>1500</v>
      </c>
      <c r="I95" s="7">
        <v>6</v>
      </c>
      <c r="J95" s="8">
        <f>G95/H95/60*I95</f>
        <v>31.448799999999999</v>
      </c>
      <c r="K95" s="7">
        <v>6500000</v>
      </c>
      <c r="L95" s="7">
        <v>846720</v>
      </c>
      <c r="M95" s="7">
        <v>6</v>
      </c>
      <c r="N95" s="75">
        <f t="shared" si="34"/>
        <v>46.060090702947846</v>
      </c>
      <c r="O95" s="75">
        <f t="shared" si="35"/>
        <v>150.77929070294783</v>
      </c>
      <c r="P95" s="75">
        <f t="shared" si="38"/>
        <v>45.535345792290244</v>
      </c>
      <c r="Q95" s="68">
        <f t="shared" si="37"/>
        <v>153.7948765170068</v>
      </c>
      <c r="R95" s="55">
        <v>13.42</v>
      </c>
      <c r="S95" s="55">
        <v>13.42</v>
      </c>
      <c r="T95" s="78">
        <f t="shared" si="29"/>
        <v>13.42</v>
      </c>
      <c r="U95" s="9">
        <f t="shared" si="30"/>
        <v>409.58960371519271</v>
      </c>
      <c r="V95" s="75">
        <f>U95*25%</f>
        <v>102.39740092879818</v>
      </c>
      <c r="W95" s="42">
        <v>512</v>
      </c>
      <c r="X95" s="71">
        <v>497.90262950793647</v>
      </c>
      <c r="Y95" s="60">
        <f t="shared" si="32"/>
        <v>1.0283135088199786</v>
      </c>
      <c r="Z95" s="60">
        <f t="shared" si="31"/>
        <v>2.8313508819978628E-2</v>
      </c>
      <c r="AA95" s="14"/>
    </row>
    <row r="96" spans="1:34" ht="15" customHeight="1" x14ac:dyDescent="0.2">
      <c r="A96" s="36" t="s">
        <v>443</v>
      </c>
      <c r="B96" s="27" t="s">
        <v>8</v>
      </c>
      <c r="C96" s="21">
        <v>942048</v>
      </c>
      <c r="D96" s="7">
        <v>1500</v>
      </c>
      <c r="E96" s="7">
        <v>5</v>
      </c>
      <c r="F96" s="8">
        <f t="shared" si="33"/>
        <v>52.335999999999999</v>
      </c>
      <c r="G96" s="33">
        <v>471732</v>
      </c>
      <c r="H96" s="7">
        <v>1500</v>
      </c>
      <c r="I96" s="7">
        <v>3</v>
      </c>
      <c r="J96" s="8">
        <f t="shared" ref="J96:J146" si="39">G96/H96/60*I96</f>
        <v>15.724399999999999</v>
      </c>
      <c r="K96" s="7">
        <v>6500000</v>
      </c>
      <c r="L96" s="7">
        <v>846720</v>
      </c>
      <c r="M96" s="7">
        <v>1</v>
      </c>
      <c r="N96" s="75">
        <f t="shared" si="34"/>
        <v>7.6766817838246411</v>
      </c>
      <c r="O96" s="75">
        <f t="shared" si="35"/>
        <v>75.737081783824635</v>
      </c>
      <c r="P96" s="75">
        <f t="shared" si="38"/>
        <v>22.872598698715038</v>
      </c>
      <c r="Q96" s="68">
        <f t="shared" si="37"/>
        <v>77.251823419501136</v>
      </c>
      <c r="R96" s="55">
        <v>2.75</v>
      </c>
      <c r="S96" s="55">
        <v>2.75</v>
      </c>
      <c r="T96" s="78">
        <f t="shared" si="29"/>
        <v>2.75</v>
      </c>
      <c r="U96" s="9">
        <f t="shared" si="30"/>
        <v>186.28818568586547</v>
      </c>
      <c r="V96" s="75">
        <f>U96*25%</f>
        <v>46.572046421466368</v>
      </c>
      <c r="W96" s="42">
        <v>233</v>
      </c>
      <c r="X96" s="71">
        <v>230.64163469444446</v>
      </c>
      <c r="Y96" s="60">
        <f t="shared" si="32"/>
        <v>1.0102252366910247</v>
      </c>
      <c r="Z96" s="60">
        <f t="shared" si="31"/>
        <v>1.0225236691024708E-2</v>
      </c>
      <c r="AA96" s="14"/>
    </row>
    <row r="97" spans="1:29" s="114" customFormat="1" ht="15" customHeight="1" x14ac:dyDescent="0.2">
      <c r="A97" s="98" t="s">
        <v>444</v>
      </c>
      <c r="B97" s="99" t="s">
        <v>365</v>
      </c>
      <c r="C97" s="100">
        <v>942048</v>
      </c>
      <c r="D97" s="101">
        <v>1925</v>
      </c>
      <c r="E97" s="101">
        <v>18</v>
      </c>
      <c r="F97" s="102">
        <f t="shared" ref="F97:F146" si="40">C97/D97/60*E97</f>
        <v>146.81267532467533</v>
      </c>
      <c r="G97" s="103">
        <v>471732</v>
      </c>
      <c r="H97" s="101">
        <v>1925</v>
      </c>
      <c r="I97" s="101">
        <v>15</v>
      </c>
      <c r="J97" s="102">
        <f>G97/H97/60*I97</f>
        <v>61.263896103896101</v>
      </c>
      <c r="K97" s="101">
        <v>68500</v>
      </c>
      <c r="L97" s="101">
        <v>846720</v>
      </c>
      <c r="M97" s="101">
        <v>18</v>
      </c>
      <c r="N97" s="102">
        <f t="shared" si="34"/>
        <v>1.4562074829931972</v>
      </c>
      <c r="O97" s="102">
        <f t="shared" ref="O97:O146" si="41">F97+J97+N97</f>
        <v>209.53277891156461</v>
      </c>
      <c r="P97" s="102">
        <f t="shared" ref="P97:P146" si="42">O97*0.302</f>
        <v>63.278899231292506</v>
      </c>
      <c r="Q97" s="104">
        <f t="shared" ref="Q97:Q146" si="43">(O97)*102%</f>
        <v>213.72343448979589</v>
      </c>
      <c r="R97" s="105">
        <f>3.16+17.02</f>
        <v>20.18</v>
      </c>
      <c r="S97" s="105">
        <v>20.18</v>
      </c>
      <c r="T97" s="106">
        <f t="shared" si="29"/>
        <v>20.18</v>
      </c>
      <c r="U97" s="107">
        <f t="shared" si="30"/>
        <v>508.17132011564621</v>
      </c>
      <c r="V97" s="102">
        <f t="shared" ref="V97:V146" si="44">U97*25%</f>
        <v>127.04283002891155</v>
      </c>
      <c r="W97" s="108">
        <v>635</v>
      </c>
      <c r="X97" s="109">
        <v>600.04672635517591</v>
      </c>
      <c r="Y97" s="110">
        <f t="shared" si="32"/>
        <v>1.0582509196527718</v>
      </c>
      <c r="Z97" s="110">
        <f t="shared" si="31"/>
        <v>5.8250919652771849E-2</v>
      </c>
      <c r="AA97" s="111"/>
      <c r="AB97" s="112"/>
      <c r="AC97" s="113"/>
    </row>
    <row r="98" spans="1:29" s="114" customFormat="1" ht="15" customHeight="1" x14ac:dyDescent="0.2">
      <c r="A98" s="98" t="s">
        <v>445</v>
      </c>
      <c r="B98" s="99" t="s">
        <v>54</v>
      </c>
      <c r="C98" s="100">
        <v>942048</v>
      </c>
      <c r="D98" s="101">
        <v>1925</v>
      </c>
      <c r="E98" s="101">
        <v>11</v>
      </c>
      <c r="F98" s="102">
        <f t="shared" si="40"/>
        <v>89.718857142857146</v>
      </c>
      <c r="G98" s="103">
        <v>471732</v>
      </c>
      <c r="H98" s="101">
        <v>1925</v>
      </c>
      <c r="I98" s="101">
        <v>10</v>
      </c>
      <c r="J98" s="102">
        <f>G98/H98/60*I98</f>
        <v>40.842597402597399</v>
      </c>
      <c r="K98" s="101">
        <v>99860</v>
      </c>
      <c r="L98" s="101">
        <v>846720</v>
      </c>
      <c r="M98" s="101">
        <v>10</v>
      </c>
      <c r="N98" s="102">
        <f t="shared" si="34"/>
        <v>1.1793745275888132</v>
      </c>
      <c r="O98" s="102">
        <f t="shared" si="41"/>
        <v>131.74082907304336</v>
      </c>
      <c r="P98" s="102">
        <f t="shared" si="42"/>
        <v>39.785730380059093</v>
      </c>
      <c r="Q98" s="104">
        <f t="shared" si="43"/>
        <v>134.37564565450424</v>
      </c>
      <c r="R98" s="105">
        <f>0.38*5+1.54*3+17.02+3.16</f>
        <v>26.7</v>
      </c>
      <c r="S98" s="105">
        <v>26.7</v>
      </c>
      <c r="T98" s="106">
        <f t="shared" si="29"/>
        <v>26.7</v>
      </c>
      <c r="U98" s="107">
        <f t="shared" si="30"/>
        <v>333.7815796351955</v>
      </c>
      <c r="V98" s="102">
        <f>U98*25%</f>
        <v>83.445394908798875</v>
      </c>
      <c r="W98" s="108">
        <v>417</v>
      </c>
      <c r="X98" s="109">
        <v>414.12396436130001</v>
      </c>
      <c r="Y98" s="110">
        <f t="shared" si="32"/>
        <v>1.0069448664801026</v>
      </c>
      <c r="Z98" s="110">
        <f t="shared" si="31"/>
        <v>6.9448664801026183E-3</v>
      </c>
      <c r="AA98" s="111"/>
      <c r="AB98" s="112"/>
      <c r="AC98" s="113"/>
    </row>
    <row r="99" spans="1:29" s="114" customFormat="1" ht="15" customHeight="1" x14ac:dyDescent="0.2">
      <c r="A99" s="98" t="s">
        <v>446</v>
      </c>
      <c r="B99" s="99" t="s">
        <v>238</v>
      </c>
      <c r="C99" s="100">
        <v>942048</v>
      </c>
      <c r="D99" s="101">
        <v>1925</v>
      </c>
      <c r="E99" s="101">
        <v>13</v>
      </c>
      <c r="F99" s="102">
        <f t="shared" si="40"/>
        <v>106.03137662337662</v>
      </c>
      <c r="G99" s="103">
        <v>471732</v>
      </c>
      <c r="H99" s="101">
        <v>1925</v>
      </c>
      <c r="I99" s="101">
        <v>10</v>
      </c>
      <c r="J99" s="102">
        <f>G99/H99/60*I99</f>
        <v>40.842597402597399</v>
      </c>
      <c r="K99" s="101">
        <v>99860</v>
      </c>
      <c r="L99" s="101">
        <v>846720</v>
      </c>
      <c r="M99" s="101">
        <v>12</v>
      </c>
      <c r="N99" s="102">
        <f t="shared" si="34"/>
        <v>1.4152494331065759</v>
      </c>
      <c r="O99" s="102">
        <f t="shared" si="41"/>
        <v>148.28922345908057</v>
      </c>
      <c r="P99" s="102">
        <f t="shared" si="42"/>
        <v>44.783345484642332</v>
      </c>
      <c r="Q99" s="104">
        <f t="shared" si="43"/>
        <v>151.25500792826219</v>
      </c>
      <c r="R99" s="105">
        <f>0.38*5+1.54*5+17.02+3.16</f>
        <v>29.779999999999998</v>
      </c>
      <c r="S99" s="105">
        <v>29.779999999999998</v>
      </c>
      <c r="T99" s="106">
        <f t="shared" si="29"/>
        <v>29.779999999999998</v>
      </c>
      <c r="U99" s="107">
        <f t="shared" si="30"/>
        <v>375.5228263050916</v>
      </c>
      <c r="V99" s="102">
        <f>U99*25%</f>
        <v>93.8807065762729</v>
      </c>
      <c r="W99" s="108">
        <v>469</v>
      </c>
      <c r="X99" s="109">
        <v>462.76623594615376</v>
      </c>
      <c r="Y99" s="110">
        <f t="shared" si="32"/>
        <v>1.0134706544463015</v>
      </c>
      <c r="Z99" s="110">
        <f t="shared" si="31"/>
        <v>1.3470654446301467E-2</v>
      </c>
      <c r="AA99" s="111"/>
      <c r="AB99" s="112"/>
      <c r="AC99" s="113"/>
    </row>
    <row r="100" spans="1:29" s="114" customFormat="1" ht="15" customHeight="1" x14ac:dyDescent="0.2">
      <c r="A100" s="98" t="s">
        <v>447</v>
      </c>
      <c r="B100" s="99" t="s">
        <v>239</v>
      </c>
      <c r="C100" s="100">
        <v>942048</v>
      </c>
      <c r="D100" s="101">
        <v>1925</v>
      </c>
      <c r="E100" s="101">
        <v>15</v>
      </c>
      <c r="F100" s="102">
        <f t="shared" si="40"/>
        <v>122.3438961038961</v>
      </c>
      <c r="G100" s="103">
        <v>471732</v>
      </c>
      <c r="H100" s="101">
        <v>1925</v>
      </c>
      <c r="I100" s="101">
        <v>13</v>
      </c>
      <c r="J100" s="102">
        <f>G100/H100/60*I100</f>
        <v>53.095376623376623</v>
      </c>
      <c r="K100" s="101">
        <v>99860</v>
      </c>
      <c r="L100" s="101">
        <v>846720</v>
      </c>
      <c r="M100" s="101">
        <v>12</v>
      </c>
      <c r="N100" s="102">
        <f t="shared" si="34"/>
        <v>1.4152494331065759</v>
      </c>
      <c r="O100" s="102">
        <f t="shared" si="41"/>
        <v>176.8545221603793</v>
      </c>
      <c r="P100" s="102">
        <f t="shared" si="42"/>
        <v>53.41006569243455</v>
      </c>
      <c r="Q100" s="104">
        <f t="shared" si="43"/>
        <v>180.39161260358691</v>
      </c>
      <c r="R100" s="105">
        <f>2+0.38*5+1.54*3+17.02+3.16+0.38*5+1.54*3+3.16+0.38*5+1.54*3+3.16+0.38*5+1.54*3+3.16</f>
        <v>57.739999999999981</v>
      </c>
      <c r="S100" s="105">
        <v>57.739999999999981</v>
      </c>
      <c r="T100" s="106">
        <f t="shared" si="29"/>
        <v>57.739999999999981</v>
      </c>
      <c r="U100" s="107">
        <f t="shared" si="30"/>
        <v>469.81144988950734</v>
      </c>
      <c r="V100" s="102">
        <f>U100*25%</f>
        <v>117.45286247237684</v>
      </c>
      <c r="W100" s="108">
        <v>587</v>
      </c>
      <c r="X100" s="109">
        <v>583.65919428352402</v>
      </c>
      <c r="Y100" s="110">
        <f t="shared" si="32"/>
        <v>1.0057238980370677</v>
      </c>
      <c r="Z100" s="110">
        <f t="shared" si="31"/>
        <v>5.7238980370677428E-3</v>
      </c>
      <c r="AA100" s="111"/>
      <c r="AB100" s="112"/>
      <c r="AC100" s="113"/>
    </row>
    <row r="101" spans="1:29" s="114" customFormat="1" ht="15" customHeight="1" x14ac:dyDescent="0.2">
      <c r="A101" s="98" t="s">
        <v>860</v>
      </c>
      <c r="B101" s="99" t="s">
        <v>240</v>
      </c>
      <c r="C101" s="100">
        <v>942048</v>
      </c>
      <c r="D101" s="101">
        <v>1925</v>
      </c>
      <c r="E101" s="101">
        <v>15</v>
      </c>
      <c r="F101" s="102">
        <f t="shared" si="40"/>
        <v>122.3438961038961</v>
      </c>
      <c r="G101" s="103">
        <v>471732</v>
      </c>
      <c r="H101" s="101">
        <v>1925</v>
      </c>
      <c r="I101" s="101">
        <v>10</v>
      </c>
      <c r="J101" s="102">
        <f>G101/H101/60*I101</f>
        <v>40.842597402597399</v>
      </c>
      <c r="K101" s="101">
        <v>99860</v>
      </c>
      <c r="L101" s="101">
        <v>846720</v>
      </c>
      <c r="M101" s="101">
        <v>15</v>
      </c>
      <c r="N101" s="102">
        <f t="shared" si="34"/>
        <v>1.7690617913832201</v>
      </c>
      <c r="O101" s="102">
        <f t="shared" si="41"/>
        <v>164.95555529787671</v>
      </c>
      <c r="P101" s="102">
        <f t="shared" si="42"/>
        <v>49.816577699958764</v>
      </c>
      <c r="Q101" s="104">
        <f t="shared" si="43"/>
        <v>168.25466640383425</v>
      </c>
      <c r="R101" s="105">
        <f>0.38*10+1.54*3+17.02+3.16</f>
        <v>28.599999999999998</v>
      </c>
      <c r="S101" s="105">
        <v>28.599999999999998</v>
      </c>
      <c r="T101" s="106">
        <f t="shared" si="29"/>
        <v>28.599999999999998</v>
      </c>
      <c r="U101" s="107">
        <f t="shared" si="30"/>
        <v>413.39586119305295</v>
      </c>
      <c r="V101" s="102">
        <f>U101*25%</f>
        <v>103.34896529826324</v>
      </c>
      <c r="W101" s="108">
        <v>517</v>
      </c>
      <c r="X101" s="109">
        <v>508.15947947759923</v>
      </c>
      <c r="Y101" s="110">
        <f t="shared" si="32"/>
        <v>1.0173971378660278</v>
      </c>
      <c r="Z101" s="110">
        <f t="shared" si="31"/>
        <v>1.7397137866027812E-2</v>
      </c>
      <c r="AA101" s="111"/>
      <c r="AB101" s="112"/>
      <c r="AC101" s="113"/>
    </row>
    <row r="102" spans="1:29" s="114" customFormat="1" ht="15" customHeight="1" x14ac:dyDescent="0.2">
      <c r="A102" s="98" t="s">
        <v>448</v>
      </c>
      <c r="B102" s="99" t="s">
        <v>833</v>
      </c>
      <c r="C102" s="100">
        <v>0</v>
      </c>
      <c r="D102" s="101">
        <v>1</v>
      </c>
      <c r="E102" s="101">
        <v>0</v>
      </c>
      <c r="F102" s="102">
        <f t="shared" si="40"/>
        <v>0</v>
      </c>
      <c r="G102" s="103">
        <v>471732</v>
      </c>
      <c r="H102" s="101">
        <v>1925</v>
      </c>
      <c r="I102" s="101">
        <v>9</v>
      </c>
      <c r="J102" s="102">
        <f t="shared" si="39"/>
        <v>36.758337662337659</v>
      </c>
      <c r="K102" s="101">
        <v>99860</v>
      </c>
      <c r="L102" s="101">
        <v>846720</v>
      </c>
      <c r="M102" s="101">
        <v>10</v>
      </c>
      <c r="N102" s="102">
        <f t="shared" si="34"/>
        <v>1.1793745275888132</v>
      </c>
      <c r="O102" s="102">
        <f t="shared" si="41"/>
        <v>37.937712189926472</v>
      </c>
      <c r="P102" s="102">
        <f t="shared" si="42"/>
        <v>11.457189081357795</v>
      </c>
      <c r="Q102" s="104">
        <f t="shared" si="43"/>
        <v>38.696466433725</v>
      </c>
      <c r="R102" s="105">
        <v>26.7</v>
      </c>
      <c r="S102" s="105">
        <v>26.7</v>
      </c>
      <c r="T102" s="106">
        <f t="shared" si="29"/>
        <v>26.7</v>
      </c>
      <c r="U102" s="107">
        <f t="shared" si="30"/>
        <v>115.97074223259808</v>
      </c>
      <c r="V102" s="102">
        <f t="shared" si="44"/>
        <v>28.992685558149521</v>
      </c>
      <c r="W102" s="108">
        <v>145</v>
      </c>
      <c r="X102" s="109">
        <v>145.01924228337802</v>
      </c>
      <c r="Y102" s="110">
        <f t="shared" si="32"/>
        <v>0.99986731220578007</v>
      </c>
      <c r="Z102" s="110">
        <f t="shared" si="31"/>
        <v>-1.3268779421993226E-4</v>
      </c>
      <c r="AA102" s="111"/>
      <c r="AB102" s="112"/>
      <c r="AC102" s="113"/>
    </row>
    <row r="103" spans="1:29" s="114" customFormat="1" ht="15" customHeight="1" x14ac:dyDescent="0.2">
      <c r="A103" s="98" t="s">
        <v>449</v>
      </c>
      <c r="B103" s="99" t="s">
        <v>279</v>
      </c>
      <c r="C103" s="100">
        <v>942048</v>
      </c>
      <c r="D103" s="101">
        <v>1925</v>
      </c>
      <c r="E103" s="101">
        <v>20</v>
      </c>
      <c r="F103" s="102">
        <f t="shared" si="40"/>
        <v>163.12519480519481</v>
      </c>
      <c r="G103" s="103">
        <v>471732</v>
      </c>
      <c r="H103" s="101">
        <v>1925</v>
      </c>
      <c r="I103" s="101">
        <v>23</v>
      </c>
      <c r="J103" s="102">
        <f t="shared" si="39"/>
        <v>93.937974025974015</v>
      </c>
      <c r="K103" s="115">
        <v>131493.6</v>
      </c>
      <c r="L103" s="101">
        <v>846720</v>
      </c>
      <c r="M103" s="101">
        <v>25</v>
      </c>
      <c r="N103" s="102">
        <f t="shared" si="34"/>
        <v>3.8824404761904763</v>
      </c>
      <c r="O103" s="102">
        <f t="shared" si="41"/>
        <v>260.94560930735929</v>
      </c>
      <c r="P103" s="102">
        <f t="shared" si="42"/>
        <v>78.805574010822497</v>
      </c>
      <c r="Q103" s="104">
        <f t="shared" si="43"/>
        <v>266.16452149350647</v>
      </c>
      <c r="R103" s="105">
        <f>17.02+1.54*6+0.15*5</f>
        <v>27.009999999999998</v>
      </c>
      <c r="S103" s="105">
        <v>27.009999999999998</v>
      </c>
      <c r="T103" s="106">
        <f t="shared" si="29"/>
        <v>27.009999999999998</v>
      </c>
      <c r="U103" s="107">
        <f t="shared" si="30"/>
        <v>636.80814528787869</v>
      </c>
      <c r="V103" s="102">
        <f t="shared" si="44"/>
        <v>159.20203632196967</v>
      </c>
      <c r="W103" s="108">
        <v>796</v>
      </c>
      <c r="X103" s="109">
        <v>782.30244744859306</v>
      </c>
      <c r="Y103" s="110">
        <f t="shared" si="32"/>
        <v>1.0175092799416392</v>
      </c>
      <c r="Z103" s="110">
        <f t="shared" si="31"/>
        <v>1.75092799416392E-2</v>
      </c>
      <c r="AA103" s="111"/>
      <c r="AB103" s="112"/>
      <c r="AC103" s="113"/>
    </row>
    <row r="104" spans="1:29" s="114" customFormat="1" ht="15" customHeight="1" x14ac:dyDescent="0.2">
      <c r="A104" s="98" t="s">
        <v>450</v>
      </c>
      <c r="B104" s="99" t="s">
        <v>280</v>
      </c>
      <c r="C104" s="100">
        <v>942048</v>
      </c>
      <c r="D104" s="101">
        <v>1925</v>
      </c>
      <c r="E104" s="101">
        <v>25</v>
      </c>
      <c r="F104" s="102">
        <f t="shared" si="40"/>
        <v>203.90649350649349</v>
      </c>
      <c r="G104" s="103">
        <v>471732</v>
      </c>
      <c r="H104" s="101">
        <v>1925</v>
      </c>
      <c r="I104" s="101">
        <v>22</v>
      </c>
      <c r="J104" s="102">
        <f>G104/H104/60*I104</f>
        <v>89.853714285714275</v>
      </c>
      <c r="K104" s="115">
        <v>131493.6</v>
      </c>
      <c r="L104" s="101">
        <v>846720</v>
      </c>
      <c r="M104" s="101">
        <v>20</v>
      </c>
      <c r="N104" s="102">
        <f t="shared" si="34"/>
        <v>3.105952380952381</v>
      </c>
      <c r="O104" s="102">
        <f t="shared" si="41"/>
        <v>296.86616017316015</v>
      </c>
      <c r="P104" s="102">
        <f t="shared" si="42"/>
        <v>89.653580372294357</v>
      </c>
      <c r="Q104" s="104">
        <f t="shared" si="43"/>
        <v>302.80348337662338</v>
      </c>
      <c r="R104" s="105">
        <f>17.02+1.54*6+0.15*5</f>
        <v>27.009999999999998</v>
      </c>
      <c r="S104" s="105">
        <v>27.009999999999998</v>
      </c>
      <c r="T104" s="106">
        <f t="shared" si="29"/>
        <v>27.009999999999998</v>
      </c>
      <c r="U104" s="107">
        <f t="shared" si="30"/>
        <v>719.43917630303031</v>
      </c>
      <c r="V104" s="102">
        <f>U104*25%</f>
        <v>179.85979407575758</v>
      </c>
      <c r="W104" s="108">
        <v>899</v>
      </c>
      <c r="X104" s="109">
        <v>893.16870309523802</v>
      </c>
      <c r="Y104" s="110">
        <f t="shared" si="32"/>
        <v>1.0065287743340692</v>
      </c>
      <c r="Z104" s="110">
        <f t="shared" si="31"/>
        <v>6.5287743340691762E-3</v>
      </c>
      <c r="AA104" s="111"/>
      <c r="AB104" s="112"/>
      <c r="AC104" s="113"/>
    </row>
    <row r="105" spans="1:29" s="114" customFormat="1" ht="15" customHeight="1" x14ac:dyDescent="0.2">
      <c r="A105" s="98" t="s">
        <v>451</v>
      </c>
      <c r="B105" s="99" t="s">
        <v>40</v>
      </c>
      <c r="C105" s="100">
        <v>942048</v>
      </c>
      <c r="D105" s="101">
        <v>1925</v>
      </c>
      <c r="E105" s="101">
        <v>20</v>
      </c>
      <c r="F105" s="102">
        <f t="shared" si="40"/>
        <v>163.12519480519481</v>
      </c>
      <c r="G105" s="103">
        <v>471732</v>
      </c>
      <c r="H105" s="101">
        <v>1925</v>
      </c>
      <c r="I105" s="101">
        <v>16</v>
      </c>
      <c r="J105" s="102">
        <f>G105/H105/60*I105</f>
        <v>65.348155844155841</v>
      </c>
      <c r="K105" s="115">
        <v>131493.6</v>
      </c>
      <c r="L105" s="101">
        <v>846720</v>
      </c>
      <c r="M105" s="101">
        <v>20</v>
      </c>
      <c r="N105" s="102">
        <f t="shared" si="34"/>
        <v>3.105952380952381</v>
      </c>
      <c r="O105" s="102">
        <f t="shared" si="41"/>
        <v>231.57930303030304</v>
      </c>
      <c r="P105" s="102">
        <f t="shared" si="42"/>
        <v>69.936949515151511</v>
      </c>
      <c r="Q105" s="104">
        <f t="shared" si="43"/>
        <v>236.21088909090909</v>
      </c>
      <c r="R105" s="105">
        <f>1.54*6+0.15*5</f>
        <v>9.99</v>
      </c>
      <c r="S105" s="105">
        <v>9.99</v>
      </c>
      <c r="T105" s="106">
        <f t="shared" si="29"/>
        <v>9.99</v>
      </c>
      <c r="U105" s="107">
        <f t="shared" si="30"/>
        <v>550.82309401731607</v>
      </c>
      <c r="V105" s="102">
        <f t="shared" si="44"/>
        <v>137.70577350432902</v>
      </c>
      <c r="W105" s="108">
        <v>689</v>
      </c>
      <c r="X105" s="109">
        <v>667.19683128246754</v>
      </c>
      <c r="Y105" s="110">
        <f t="shared" si="32"/>
        <v>1.0326787653886531</v>
      </c>
      <c r="Z105" s="110">
        <f t="shared" si="31"/>
        <v>3.2678765388653108E-2</v>
      </c>
      <c r="AA105" s="111"/>
      <c r="AB105" s="112"/>
      <c r="AC105" s="113"/>
    </row>
    <row r="106" spans="1:29" s="114" customFormat="1" ht="15" customHeight="1" x14ac:dyDescent="0.2">
      <c r="A106" s="98" t="s">
        <v>452</v>
      </c>
      <c r="B106" s="99" t="s">
        <v>242</v>
      </c>
      <c r="C106" s="100">
        <v>942048</v>
      </c>
      <c r="D106" s="101">
        <v>1925</v>
      </c>
      <c r="E106" s="101">
        <v>24</v>
      </c>
      <c r="F106" s="102">
        <f t="shared" si="40"/>
        <v>195.75023376623375</v>
      </c>
      <c r="G106" s="103">
        <v>471732</v>
      </c>
      <c r="H106" s="101">
        <v>1925</v>
      </c>
      <c r="I106" s="101">
        <v>15</v>
      </c>
      <c r="J106" s="102">
        <f>G106/H106/60*I106</f>
        <v>61.263896103896101</v>
      </c>
      <c r="K106" s="115">
        <v>131493.6</v>
      </c>
      <c r="L106" s="101">
        <v>846720</v>
      </c>
      <c r="M106" s="101">
        <v>20</v>
      </c>
      <c r="N106" s="102">
        <f t="shared" si="34"/>
        <v>3.105952380952381</v>
      </c>
      <c r="O106" s="102">
        <f t="shared" si="41"/>
        <v>260.12008225108224</v>
      </c>
      <c r="P106" s="102">
        <f t="shared" si="42"/>
        <v>78.556264839826838</v>
      </c>
      <c r="Q106" s="104">
        <f t="shared" si="43"/>
        <v>265.3224838961039</v>
      </c>
      <c r="R106" s="105">
        <f>1.54*6+0.15*5+1.54</f>
        <v>11.530000000000001</v>
      </c>
      <c r="S106" s="105">
        <v>11.530000000000001</v>
      </c>
      <c r="T106" s="106">
        <f t="shared" si="29"/>
        <v>11.530000000000001</v>
      </c>
      <c r="U106" s="107">
        <f t="shared" si="30"/>
        <v>618.63478336796538</v>
      </c>
      <c r="V106" s="102">
        <f>U106*25%</f>
        <v>154.65869584199135</v>
      </c>
      <c r="W106" s="108">
        <v>773</v>
      </c>
      <c r="X106" s="109">
        <v>761.64478608766228</v>
      </c>
      <c r="Y106" s="110">
        <f t="shared" si="32"/>
        <v>1.0149088054165853</v>
      </c>
      <c r="Z106" s="110">
        <f t="shared" si="31"/>
        <v>1.4908805416585347E-2</v>
      </c>
      <c r="AA106" s="111"/>
      <c r="AB106" s="112"/>
      <c r="AC106" s="113"/>
    </row>
    <row r="107" spans="1:29" s="114" customFormat="1" ht="15" customHeight="1" x14ac:dyDescent="0.2">
      <c r="A107" s="98" t="s">
        <v>453</v>
      </c>
      <c r="B107" s="99" t="s">
        <v>9</v>
      </c>
      <c r="C107" s="100">
        <v>942048</v>
      </c>
      <c r="D107" s="101">
        <v>1925</v>
      </c>
      <c r="E107" s="101">
        <v>11</v>
      </c>
      <c r="F107" s="102">
        <f t="shared" si="40"/>
        <v>89.718857142857146</v>
      </c>
      <c r="G107" s="103">
        <v>471732</v>
      </c>
      <c r="H107" s="101">
        <v>1925</v>
      </c>
      <c r="I107" s="101">
        <v>12</v>
      </c>
      <c r="J107" s="102">
        <f t="shared" si="39"/>
        <v>49.011116883116884</v>
      </c>
      <c r="K107" s="101">
        <v>120000</v>
      </c>
      <c r="L107" s="101">
        <v>846720</v>
      </c>
      <c r="M107" s="101">
        <v>10</v>
      </c>
      <c r="N107" s="102">
        <f t="shared" si="34"/>
        <v>1.4172335600907029</v>
      </c>
      <c r="O107" s="102">
        <f t="shared" si="41"/>
        <v>140.14720758606472</v>
      </c>
      <c r="P107" s="102">
        <f t="shared" si="42"/>
        <v>42.324456690991546</v>
      </c>
      <c r="Q107" s="104">
        <f t="shared" si="43"/>
        <v>142.95015173778603</v>
      </c>
      <c r="R107" s="105">
        <f>1.54*2+3.6</f>
        <v>6.68</v>
      </c>
      <c r="S107" s="105">
        <v>6.68</v>
      </c>
      <c r="T107" s="106">
        <f t="shared" si="29"/>
        <v>6.68</v>
      </c>
      <c r="U107" s="107">
        <f t="shared" si="30"/>
        <v>333.51904957493304</v>
      </c>
      <c r="V107" s="102">
        <f t="shared" si="44"/>
        <v>83.379762393733259</v>
      </c>
      <c r="W107" s="108">
        <v>417</v>
      </c>
      <c r="X107" s="109">
        <v>407.90995794269213</v>
      </c>
      <c r="Y107" s="110">
        <f t="shared" si="32"/>
        <v>1.0222844328271705</v>
      </c>
      <c r="Z107" s="110">
        <f t="shared" si="31"/>
        <v>2.2284432827170519E-2</v>
      </c>
      <c r="AA107" s="111"/>
      <c r="AB107" s="112"/>
      <c r="AC107" s="113"/>
    </row>
    <row r="108" spans="1:29" s="114" customFormat="1" ht="15" customHeight="1" x14ac:dyDescent="0.2">
      <c r="A108" s="98" t="s">
        <v>454</v>
      </c>
      <c r="B108" s="99" t="s">
        <v>241</v>
      </c>
      <c r="C108" s="100">
        <v>942048</v>
      </c>
      <c r="D108" s="101">
        <v>1925</v>
      </c>
      <c r="E108" s="101">
        <v>18</v>
      </c>
      <c r="F108" s="102">
        <f t="shared" si="40"/>
        <v>146.81267532467533</v>
      </c>
      <c r="G108" s="103">
        <v>471732</v>
      </c>
      <c r="H108" s="101">
        <v>1925</v>
      </c>
      <c r="I108" s="101">
        <v>20</v>
      </c>
      <c r="J108" s="102">
        <f>G108/H108/60*I108</f>
        <v>81.685194805194797</v>
      </c>
      <c r="K108" s="101">
        <v>120000</v>
      </c>
      <c r="L108" s="101">
        <v>846720</v>
      </c>
      <c r="M108" s="101">
        <v>20</v>
      </c>
      <c r="N108" s="102">
        <f t="shared" si="34"/>
        <v>2.8344671201814058</v>
      </c>
      <c r="O108" s="102">
        <f t="shared" si="41"/>
        <v>231.33233725005155</v>
      </c>
      <c r="P108" s="102">
        <f t="shared" si="42"/>
        <v>69.862365849515569</v>
      </c>
      <c r="Q108" s="104">
        <f t="shared" si="43"/>
        <v>235.95898399505259</v>
      </c>
      <c r="R108" s="105">
        <f>1.54*2+3.6+1.96*2</f>
        <v>10.6</v>
      </c>
      <c r="S108" s="105">
        <v>10.6</v>
      </c>
      <c r="T108" s="106">
        <f t="shared" si="29"/>
        <v>10.6</v>
      </c>
      <c r="U108" s="107">
        <f t="shared" si="30"/>
        <v>550.58815421480119</v>
      </c>
      <c r="V108" s="102">
        <f>U108*25%</f>
        <v>137.6470385537003</v>
      </c>
      <c r="W108" s="108">
        <v>688</v>
      </c>
      <c r="X108" s="109">
        <v>687.03001304885584</v>
      </c>
      <c r="Y108" s="110">
        <f t="shared" si="32"/>
        <v>1.0014118552795672</v>
      </c>
      <c r="Z108" s="110">
        <f t="shared" si="31"/>
        <v>1.4118552795672201E-3</v>
      </c>
      <c r="AA108" s="111"/>
      <c r="AB108" s="112"/>
      <c r="AC108" s="113"/>
    </row>
    <row r="109" spans="1:29" s="114" customFormat="1" ht="15" customHeight="1" x14ac:dyDescent="0.2">
      <c r="A109" s="98" t="s">
        <v>455</v>
      </c>
      <c r="B109" s="99" t="s">
        <v>297</v>
      </c>
      <c r="C109" s="100">
        <v>942048</v>
      </c>
      <c r="D109" s="101">
        <v>1925</v>
      </c>
      <c r="E109" s="101">
        <v>45</v>
      </c>
      <c r="F109" s="102">
        <f t="shared" si="40"/>
        <v>367.0316883116883</v>
      </c>
      <c r="G109" s="103">
        <v>471732</v>
      </c>
      <c r="H109" s="101">
        <v>1925</v>
      </c>
      <c r="I109" s="101">
        <v>60</v>
      </c>
      <c r="J109" s="102">
        <f t="shared" si="39"/>
        <v>245.05558441558441</v>
      </c>
      <c r="K109" s="102">
        <v>294418.26</v>
      </c>
      <c r="L109" s="101">
        <v>846720</v>
      </c>
      <c r="M109" s="101">
        <v>50</v>
      </c>
      <c r="N109" s="102">
        <f t="shared" si="34"/>
        <v>17.385809948979592</v>
      </c>
      <c r="O109" s="102">
        <f t="shared" si="41"/>
        <v>629.47308267625226</v>
      </c>
      <c r="P109" s="102">
        <f t="shared" si="42"/>
        <v>190.10087096822818</v>
      </c>
      <c r="Q109" s="104">
        <f t="shared" si="43"/>
        <v>642.06254432977732</v>
      </c>
      <c r="R109" s="105">
        <f>0.15*5+3.16*3</f>
        <v>10.23</v>
      </c>
      <c r="S109" s="105">
        <v>10.23</v>
      </c>
      <c r="T109" s="106">
        <f t="shared" si="29"/>
        <v>10.23</v>
      </c>
      <c r="U109" s="107">
        <f t="shared" si="30"/>
        <v>1489.2523079232374</v>
      </c>
      <c r="V109" s="102">
        <f t="shared" si="44"/>
        <v>372.31307698080934</v>
      </c>
      <c r="W109" s="108">
        <v>1862</v>
      </c>
      <c r="X109" s="109">
        <v>1827.5685771451763</v>
      </c>
      <c r="Y109" s="110">
        <f t="shared" si="32"/>
        <v>1.0188400168865941</v>
      </c>
      <c r="Z109" s="110">
        <f t="shared" si="31"/>
        <v>1.8840016886594091E-2</v>
      </c>
      <c r="AA109" s="111"/>
      <c r="AB109" s="112"/>
      <c r="AC109" s="113"/>
    </row>
    <row r="110" spans="1:29" s="114" customFormat="1" ht="15" customHeight="1" x14ac:dyDescent="0.2">
      <c r="A110" s="98" t="s">
        <v>456</v>
      </c>
      <c r="B110" s="99" t="s">
        <v>366</v>
      </c>
      <c r="C110" s="100">
        <v>942048</v>
      </c>
      <c r="D110" s="101">
        <v>1925</v>
      </c>
      <c r="E110" s="101">
        <v>11</v>
      </c>
      <c r="F110" s="102">
        <f t="shared" si="40"/>
        <v>89.718857142857146</v>
      </c>
      <c r="G110" s="103">
        <v>471732</v>
      </c>
      <c r="H110" s="101">
        <v>1925</v>
      </c>
      <c r="I110" s="101">
        <v>13</v>
      </c>
      <c r="J110" s="102">
        <f t="shared" si="39"/>
        <v>53.095376623376623</v>
      </c>
      <c r="K110" s="101">
        <v>46350</v>
      </c>
      <c r="L110" s="101">
        <v>846720</v>
      </c>
      <c r="M110" s="101">
        <v>15</v>
      </c>
      <c r="N110" s="102">
        <f t="shared" si="34"/>
        <v>0.82110969387755106</v>
      </c>
      <c r="O110" s="102">
        <f t="shared" si="41"/>
        <v>143.63534346011133</v>
      </c>
      <c r="P110" s="102">
        <f t="shared" si="42"/>
        <v>43.377873724953623</v>
      </c>
      <c r="Q110" s="104">
        <f t="shared" si="43"/>
        <v>146.50805032931356</v>
      </c>
      <c r="R110" s="105">
        <f>0.15*5+3.16*3+17.02</f>
        <v>27.25</v>
      </c>
      <c r="S110" s="105">
        <v>27.25</v>
      </c>
      <c r="T110" s="106">
        <f t="shared" si="29"/>
        <v>27.25</v>
      </c>
      <c r="U110" s="107">
        <f t="shared" si="30"/>
        <v>361.59237720825604</v>
      </c>
      <c r="V110" s="102">
        <f t="shared" si="44"/>
        <v>90.39809430206401</v>
      </c>
      <c r="W110" s="108">
        <v>452</v>
      </c>
      <c r="X110" s="109">
        <v>442.66445404839203</v>
      </c>
      <c r="Y110" s="110">
        <f t="shared" si="32"/>
        <v>1.0210894411471931</v>
      </c>
      <c r="Z110" s="110">
        <f t="shared" si="31"/>
        <v>2.1089441147193133E-2</v>
      </c>
      <c r="AA110" s="111"/>
      <c r="AB110" s="112"/>
      <c r="AC110" s="113"/>
    </row>
    <row r="111" spans="1:29" s="114" customFormat="1" ht="15" customHeight="1" x14ac:dyDescent="0.2">
      <c r="A111" s="98" t="s">
        <v>457</v>
      </c>
      <c r="B111" s="99" t="s">
        <v>296</v>
      </c>
      <c r="C111" s="100">
        <v>942048</v>
      </c>
      <c r="D111" s="101">
        <v>1925</v>
      </c>
      <c r="E111" s="101">
        <v>15</v>
      </c>
      <c r="F111" s="102">
        <f t="shared" si="40"/>
        <v>122.3438961038961</v>
      </c>
      <c r="G111" s="103">
        <v>471732</v>
      </c>
      <c r="H111" s="101">
        <v>1925</v>
      </c>
      <c r="I111" s="101">
        <v>15</v>
      </c>
      <c r="J111" s="102">
        <f t="shared" si="39"/>
        <v>61.263896103896101</v>
      </c>
      <c r="K111" s="101">
        <v>53100</v>
      </c>
      <c r="L111" s="101">
        <v>846720</v>
      </c>
      <c r="M111" s="101">
        <v>15</v>
      </c>
      <c r="N111" s="102">
        <f t="shared" si="34"/>
        <v>0.94068877551020402</v>
      </c>
      <c r="O111" s="102">
        <f t="shared" si="41"/>
        <v>184.54848098330243</v>
      </c>
      <c r="P111" s="102">
        <f t="shared" si="42"/>
        <v>55.733641256957334</v>
      </c>
      <c r="Q111" s="104">
        <f t="shared" si="43"/>
        <v>188.23945060296847</v>
      </c>
      <c r="R111" s="105">
        <f>1.54*2</f>
        <v>3.08</v>
      </c>
      <c r="S111" s="105">
        <v>3.08</v>
      </c>
      <c r="T111" s="106">
        <f t="shared" si="29"/>
        <v>3.08</v>
      </c>
      <c r="U111" s="107">
        <f t="shared" si="30"/>
        <v>432.54226161873845</v>
      </c>
      <c r="V111" s="102">
        <f t="shared" si="44"/>
        <v>108.13556540468461</v>
      </c>
      <c r="W111" s="108">
        <v>541</v>
      </c>
      <c r="X111" s="109">
        <v>524.87936322085648</v>
      </c>
      <c r="Y111" s="110">
        <f t="shared" si="32"/>
        <v>1.0307130321912854</v>
      </c>
      <c r="Z111" s="110">
        <f t="shared" si="31"/>
        <v>3.0713032191285405E-2</v>
      </c>
      <c r="AA111" s="111"/>
      <c r="AB111" s="112"/>
      <c r="AC111" s="113"/>
    </row>
    <row r="112" spans="1:29" s="114" customFormat="1" ht="15" customHeight="1" x14ac:dyDescent="0.2">
      <c r="A112" s="98" t="s">
        <v>825</v>
      </c>
      <c r="B112" s="99" t="s">
        <v>102</v>
      </c>
      <c r="C112" s="100">
        <v>942048</v>
      </c>
      <c r="D112" s="101">
        <v>1925</v>
      </c>
      <c r="E112" s="101">
        <v>33</v>
      </c>
      <c r="F112" s="102">
        <f t="shared" si="40"/>
        <v>269.1565714285714</v>
      </c>
      <c r="G112" s="103">
        <v>471732</v>
      </c>
      <c r="H112" s="101">
        <v>1925</v>
      </c>
      <c r="I112" s="101">
        <v>35</v>
      </c>
      <c r="J112" s="102">
        <f t="shared" si="39"/>
        <v>142.9490909090909</v>
      </c>
      <c r="K112" s="101">
        <v>145000</v>
      </c>
      <c r="L112" s="101">
        <v>846720</v>
      </c>
      <c r="M112" s="101">
        <v>40</v>
      </c>
      <c r="N112" s="102">
        <f t="shared" si="34"/>
        <v>6.8499622071050652</v>
      </c>
      <c r="O112" s="102">
        <f t="shared" si="41"/>
        <v>418.95562454476737</v>
      </c>
      <c r="P112" s="102">
        <f t="shared" si="42"/>
        <v>126.52459861251974</v>
      </c>
      <c r="Q112" s="104">
        <f t="shared" si="43"/>
        <v>427.33473703566273</v>
      </c>
      <c r="R112" s="105">
        <f>11+1.54*10+3.16*2+0.21*15</f>
        <v>35.869999999999997</v>
      </c>
      <c r="S112" s="105">
        <v>35.869999999999997</v>
      </c>
      <c r="T112" s="106">
        <f t="shared" si="29"/>
        <v>35.869999999999997</v>
      </c>
      <c r="U112" s="107">
        <f t="shared" si="30"/>
        <v>1015.5349224000548</v>
      </c>
      <c r="V112" s="102">
        <f t="shared" si="44"/>
        <v>253.88373060001371</v>
      </c>
      <c r="W112" s="108">
        <v>1269</v>
      </c>
      <c r="X112" s="109">
        <v>1243.9258070260428</v>
      </c>
      <c r="Y112" s="110">
        <f t="shared" si="32"/>
        <v>1.0201573058717257</v>
      </c>
      <c r="Z112" s="110">
        <f t="shared" si="31"/>
        <v>2.0157305871725706E-2</v>
      </c>
      <c r="AA112" s="111"/>
      <c r="AB112" s="112"/>
      <c r="AC112" s="113"/>
    </row>
    <row r="113" spans="1:29" s="114" customFormat="1" ht="15" customHeight="1" x14ac:dyDescent="0.2">
      <c r="A113" s="98" t="s">
        <v>826</v>
      </c>
      <c r="B113" s="99" t="s">
        <v>51</v>
      </c>
      <c r="C113" s="100">
        <v>942048</v>
      </c>
      <c r="D113" s="101">
        <v>1925</v>
      </c>
      <c r="E113" s="101">
        <v>70</v>
      </c>
      <c r="F113" s="102">
        <f t="shared" si="40"/>
        <v>570.93818181818176</v>
      </c>
      <c r="G113" s="103">
        <v>471732</v>
      </c>
      <c r="H113" s="101">
        <v>1925</v>
      </c>
      <c r="I113" s="101">
        <v>35</v>
      </c>
      <c r="J113" s="102">
        <f t="shared" si="39"/>
        <v>142.9490909090909</v>
      </c>
      <c r="K113" s="101">
        <v>145000</v>
      </c>
      <c r="L113" s="101">
        <v>846720</v>
      </c>
      <c r="M113" s="101">
        <v>110</v>
      </c>
      <c r="N113" s="102">
        <f t="shared" si="34"/>
        <v>18.837396069538929</v>
      </c>
      <c r="O113" s="102">
        <f t="shared" si="41"/>
        <v>732.72466879681156</v>
      </c>
      <c r="P113" s="102">
        <f t="shared" si="42"/>
        <v>221.2828499766371</v>
      </c>
      <c r="Q113" s="104">
        <f t="shared" si="43"/>
        <v>747.37916217274778</v>
      </c>
      <c r="R113" s="105">
        <f>1.54*10+0.21*15</f>
        <v>18.55</v>
      </c>
      <c r="S113" s="105">
        <v>18.55</v>
      </c>
      <c r="T113" s="106">
        <f t="shared" si="29"/>
        <v>18.55</v>
      </c>
      <c r="U113" s="107">
        <f t="shared" si="30"/>
        <v>1738.7740770157354</v>
      </c>
      <c r="V113" s="102">
        <f t="shared" si="44"/>
        <v>434.69351925393386</v>
      </c>
      <c r="W113" s="108">
        <v>2173</v>
      </c>
      <c r="X113" s="109">
        <v>2090.0344678979418</v>
      </c>
      <c r="Y113" s="110">
        <f t="shared" si="32"/>
        <v>1.0396957721876716</v>
      </c>
      <c r="Z113" s="110">
        <f t="shared" si="31"/>
        <v>3.9695772187671619E-2</v>
      </c>
      <c r="AA113" s="111"/>
      <c r="AB113" s="112"/>
      <c r="AC113" s="113"/>
    </row>
    <row r="114" spans="1:29" s="114" customFormat="1" ht="15" customHeight="1" x14ac:dyDescent="0.2">
      <c r="A114" s="98" t="s">
        <v>458</v>
      </c>
      <c r="B114" s="99" t="s">
        <v>325</v>
      </c>
      <c r="C114" s="100">
        <v>942048</v>
      </c>
      <c r="D114" s="101">
        <v>1925</v>
      </c>
      <c r="E114" s="101">
        <v>22</v>
      </c>
      <c r="F114" s="102">
        <f t="shared" si="40"/>
        <v>179.43771428571429</v>
      </c>
      <c r="G114" s="103">
        <v>471732</v>
      </c>
      <c r="H114" s="101">
        <v>1925</v>
      </c>
      <c r="I114" s="101">
        <v>21</v>
      </c>
      <c r="J114" s="102">
        <f t="shared" si="39"/>
        <v>85.769454545454536</v>
      </c>
      <c r="K114" s="101">
        <v>68500</v>
      </c>
      <c r="L114" s="101">
        <v>846720</v>
      </c>
      <c r="M114" s="101">
        <v>15</v>
      </c>
      <c r="N114" s="102">
        <f t="shared" si="34"/>
        <v>1.2135062358276645</v>
      </c>
      <c r="O114" s="102">
        <f t="shared" si="41"/>
        <v>266.42067506699647</v>
      </c>
      <c r="P114" s="102">
        <f t="shared" si="42"/>
        <v>80.459043870232932</v>
      </c>
      <c r="Q114" s="104">
        <f t="shared" si="43"/>
        <v>271.74908856833639</v>
      </c>
      <c r="R114" s="105">
        <f>3.16*3+17.02</f>
        <v>26.5</v>
      </c>
      <c r="S114" s="105">
        <v>26.5</v>
      </c>
      <c r="T114" s="106">
        <f t="shared" si="29"/>
        <v>26.5</v>
      </c>
      <c r="U114" s="107">
        <f t="shared" si="30"/>
        <v>646.34231374139335</v>
      </c>
      <c r="V114" s="102">
        <f t="shared" si="44"/>
        <v>161.58557843534834</v>
      </c>
      <c r="W114" s="108">
        <v>808</v>
      </c>
      <c r="X114" s="109">
        <v>796.05102731790703</v>
      </c>
      <c r="Y114" s="110">
        <f t="shared" si="32"/>
        <v>1.0150103099827055</v>
      </c>
      <c r="Z114" s="110">
        <f t="shared" si="31"/>
        <v>1.5010309982705472E-2</v>
      </c>
      <c r="AA114" s="111"/>
      <c r="AB114" s="112"/>
      <c r="AC114" s="113"/>
    </row>
    <row r="115" spans="1:29" s="114" customFormat="1" ht="15" customHeight="1" x14ac:dyDescent="0.2">
      <c r="A115" s="98" t="s">
        <v>459</v>
      </c>
      <c r="B115" s="99" t="s">
        <v>832</v>
      </c>
      <c r="C115" s="100">
        <v>942048</v>
      </c>
      <c r="D115" s="101">
        <v>1925</v>
      </c>
      <c r="E115" s="101">
        <v>10</v>
      </c>
      <c r="F115" s="102">
        <f t="shared" si="40"/>
        <v>81.562597402597405</v>
      </c>
      <c r="G115" s="103">
        <v>471732</v>
      </c>
      <c r="H115" s="101">
        <v>1925</v>
      </c>
      <c r="I115" s="101">
        <v>4</v>
      </c>
      <c r="J115" s="102">
        <f t="shared" si="39"/>
        <v>16.33703896103896</v>
      </c>
      <c r="K115" s="101">
        <v>5130</v>
      </c>
      <c r="L115" s="101">
        <v>846720</v>
      </c>
      <c r="M115" s="101">
        <v>1</v>
      </c>
      <c r="N115" s="102">
        <f t="shared" si="34"/>
        <v>6.0586734693877549E-3</v>
      </c>
      <c r="O115" s="102">
        <f t="shared" si="41"/>
        <v>97.905695037105744</v>
      </c>
      <c r="P115" s="102">
        <f t="shared" si="42"/>
        <v>29.567519901205934</v>
      </c>
      <c r="Q115" s="104">
        <f t="shared" si="43"/>
        <v>99.863808937847864</v>
      </c>
      <c r="R115" s="105">
        <f>1.8</f>
        <v>1.8</v>
      </c>
      <c r="S115" s="105">
        <v>1.8</v>
      </c>
      <c r="T115" s="106">
        <f t="shared" si="29"/>
        <v>1.8</v>
      </c>
      <c r="U115" s="107">
        <f t="shared" si="30"/>
        <v>229.14308254962893</v>
      </c>
      <c r="V115" s="102">
        <f t="shared" si="44"/>
        <v>57.285770637407232</v>
      </c>
      <c r="W115" s="108">
        <v>286</v>
      </c>
      <c r="X115" s="109">
        <v>285.51194325718933</v>
      </c>
      <c r="Y115" s="110">
        <f t="shared" si="32"/>
        <v>1.0017094092010401</v>
      </c>
      <c r="Z115" s="110">
        <f t="shared" si="31"/>
        <v>1.7094092010401241E-3</v>
      </c>
      <c r="AA115" s="111"/>
      <c r="AB115" s="112"/>
      <c r="AC115" s="113"/>
    </row>
    <row r="116" spans="1:29" s="114" customFormat="1" ht="15" customHeight="1" x14ac:dyDescent="0.2">
      <c r="A116" s="98" t="s">
        <v>460</v>
      </c>
      <c r="B116" s="99" t="s">
        <v>260</v>
      </c>
      <c r="C116" s="100">
        <v>942048</v>
      </c>
      <c r="D116" s="101">
        <v>1925</v>
      </c>
      <c r="E116" s="101">
        <v>12</v>
      </c>
      <c r="F116" s="102">
        <f t="shared" si="40"/>
        <v>97.875116883116874</v>
      </c>
      <c r="G116" s="103">
        <v>471732</v>
      </c>
      <c r="H116" s="101">
        <v>1925</v>
      </c>
      <c r="I116" s="101">
        <v>5</v>
      </c>
      <c r="J116" s="102">
        <f t="shared" si="39"/>
        <v>20.421298701298699</v>
      </c>
      <c r="K116" s="101">
        <v>4435000</v>
      </c>
      <c r="L116" s="101">
        <v>846720</v>
      </c>
      <c r="M116" s="101">
        <v>11</v>
      </c>
      <c r="N116" s="102">
        <f t="shared" si="34"/>
        <v>57.616449357520786</v>
      </c>
      <c r="O116" s="102">
        <f t="shared" si="41"/>
        <v>175.91286494193636</v>
      </c>
      <c r="P116" s="102">
        <f t="shared" si="42"/>
        <v>53.125685212464781</v>
      </c>
      <c r="Q116" s="104">
        <f t="shared" si="43"/>
        <v>179.4311222407751</v>
      </c>
      <c r="R116" s="105">
        <f t="shared" ref="R116:R122" si="45">17.02+9.95+1.54*5+3.16*3+6.75</f>
        <v>50.900000000000006</v>
      </c>
      <c r="S116" s="105">
        <v>50.900000000000006</v>
      </c>
      <c r="T116" s="106">
        <f t="shared" si="29"/>
        <v>50.900000000000006</v>
      </c>
      <c r="U116" s="107">
        <f t="shared" si="30"/>
        <v>516.98612175269704</v>
      </c>
      <c r="V116" s="102">
        <f t="shared" si="44"/>
        <v>129.24653043817426</v>
      </c>
      <c r="W116" s="108">
        <v>646</v>
      </c>
      <c r="X116" s="109">
        <v>639.23174427579374</v>
      </c>
      <c r="Y116" s="110">
        <f t="shared" si="32"/>
        <v>1.0105881095311908</v>
      </c>
      <c r="Z116" s="110">
        <f t="shared" si="31"/>
        <v>1.0588109531190826E-2</v>
      </c>
      <c r="AA116" s="111"/>
      <c r="AB116" s="112"/>
      <c r="AC116" s="113"/>
    </row>
    <row r="117" spans="1:29" s="114" customFormat="1" ht="15" customHeight="1" x14ac:dyDescent="0.2">
      <c r="A117" s="98" t="s">
        <v>861</v>
      </c>
      <c r="B117" s="99" t="s">
        <v>246</v>
      </c>
      <c r="C117" s="100">
        <v>942048</v>
      </c>
      <c r="D117" s="101">
        <v>1925</v>
      </c>
      <c r="E117" s="101">
        <v>15</v>
      </c>
      <c r="F117" s="102">
        <f t="shared" si="40"/>
        <v>122.3438961038961</v>
      </c>
      <c r="G117" s="103">
        <v>471732</v>
      </c>
      <c r="H117" s="101">
        <v>1925</v>
      </c>
      <c r="I117" s="101">
        <v>9</v>
      </c>
      <c r="J117" s="102">
        <f t="shared" si="39"/>
        <v>36.758337662337659</v>
      </c>
      <c r="K117" s="101">
        <v>4435000</v>
      </c>
      <c r="L117" s="101">
        <v>846720</v>
      </c>
      <c r="M117" s="101">
        <v>12</v>
      </c>
      <c r="N117" s="102">
        <f t="shared" si="34"/>
        <v>62.854308390022673</v>
      </c>
      <c r="O117" s="102">
        <f t="shared" si="41"/>
        <v>221.95654215625643</v>
      </c>
      <c r="P117" s="102">
        <f t="shared" si="42"/>
        <v>67.03087573118944</v>
      </c>
      <c r="Q117" s="104">
        <f t="shared" si="43"/>
        <v>226.39567299938156</v>
      </c>
      <c r="R117" s="105">
        <f t="shared" si="45"/>
        <v>50.900000000000006</v>
      </c>
      <c r="S117" s="105">
        <v>50.900000000000006</v>
      </c>
      <c r="T117" s="106">
        <f t="shared" si="29"/>
        <v>50.900000000000006</v>
      </c>
      <c r="U117" s="107">
        <f t="shared" si="30"/>
        <v>629.13739927685003</v>
      </c>
      <c r="V117" s="102">
        <f t="shared" si="44"/>
        <v>157.28434981921251</v>
      </c>
      <c r="W117" s="108">
        <v>786</v>
      </c>
      <c r="X117" s="109">
        <v>772.75258255253425</v>
      </c>
      <c r="Y117" s="110">
        <f t="shared" si="32"/>
        <v>1.017143155191675</v>
      </c>
      <c r="Z117" s="110">
        <f t="shared" si="31"/>
        <v>1.7143155191674975E-2</v>
      </c>
      <c r="AA117" s="111"/>
      <c r="AB117" s="112"/>
      <c r="AC117" s="113"/>
    </row>
    <row r="118" spans="1:29" s="114" customFormat="1" ht="15" customHeight="1" x14ac:dyDescent="0.2">
      <c r="A118" s="98" t="s">
        <v>461</v>
      </c>
      <c r="B118" s="99" t="s">
        <v>247</v>
      </c>
      <c r="C118" s="100">
        <v>942048</v>
      </c>
      <c r="D118" s="101">
        <v>1925</v>
      </c>
      <c r="E118" s="101">
        <v>10</v>
      </c>
      <c r="F118" s="102">
        <f t="shared" si="40"/>
        <v>81.562597402597405</v>
      </c>
      <c r="G118" s="103">
        <v>471732</v>
      </c>
      <c r="H118" s="101">
        <v>1925</v>
      </c>
      <c r="I118" s="101">
        <v>6</v>
      </c>
      <c r="J118" s="102">
        <f t="shared" si="39"/>
        <v>24.505558441558442</v>
      </c>
      <c r="K118" s="101">
        <v>4435000</v>
      </c>
      <c r="L118" s="101">
        <v>846720</v>
      </c>
      <c r="M118" s="101">
        <v>7</v>
      </c>
      <c r="N118" s="102">
        <f t="shared" si="34"/>
        <v>36.665013227513228</v>
      </c>
      <c r="O118" s="102">
        <f t="shared" si="41"/>
        <v>142.73316907166907</v>
      </c>
      <c r="P118" s="102">
        <f t="shared" si="42"/>
        <v>43.105417059644054</v>
      </c>
      <c r="Q118" s="104">
        <f t="shared" si="43"/>
        <v>145.58783245310246</v>
      </c>
      <c r="R118" s="105">
        <f t="shared" si="45"/>
        <v>50.900000000000006</v>
      </c>
      <c r="S118" s="105">
        <v>50.900000000000006</v>
      </c>
      <c r="T118" s="106">
        <f t="shared" si="29"/>
        <v>50.900000000000006</v>
      </c>
      <c r="U118" s="107">
        <f t="shared" si="30"/>
        <v>418.99143181192881</v>
      </c>
      <c r="V118" s="102">
        <f t="shared" si="44"/>
        <v>104.7478579529822</v>
      </c>
      <c r="W118" s="108">
        <v>524</v>
      </c>
      <c r="X118" s="109">
        <v>513.27037301203995</v>
      </c>
      <c r="Y118" s="110">
        <f t="shared" si="32"/>
        <v>1.02090443468419</v>
      </c>
      <c r="Z118" s="110">
        <f t="shared" si="31"/>
        <v>2.090443468419001E-2</v>
      </c>
      <c r="AA118" s="111"/>
      <c r="AB118" s="112"/>
      <c r="AC118" s="113"/>
    </row>
    <row r="119" spans="1:29" s="114" customFormat="1" ht="15" customHeight="1" x14ac:dyDescent="0.2">
      <c r="A119" s="98" t="s">
        <v>462</v>
      </c>
      <c r="B119" s="99" t="s">
        <v>243</v>
      </c>
      <c r="C119" s="100">
        <v>942048</v>
      </c>
      <c r="D119" s="101">
        <v>1925</v>
      </c>
      <c r="E119" s="101">
        <v>12</v>
      </c>
      <c r="F119" s="102">
        <f t="shared" si="40"/>
        <v>97.875116883116874</v>
      </c>
      <c r="G119" s="103">
        <v>471732</v>
      </c>
      <c r="H119" s="101">
        <v>1925</v>
      </c>
      <c r="I119" s="101">
        <v>5</v>
      </c>
      <c r="J119" s="102">
        <f t="shared" si="39"/>
        <v>20.421298701298699</v>
      </c>
      <c r="K119" s="101">
        <v>4435000</v>
      </c>
      <c r="L119" s="101">
        <v>846720</v>
      </c>
      <c r="M119" s="101">
        <v>11</v>
      </c>
      <c r="N119" s="102">
        <f t="shared" si="34"/>
        <v>57.616449357520786</v>
      </c>
      <c r="O119" s="102">
        <f t="shared" si="41"/>
        <v>175.91286494193636</v>
      </c>
      <c r="P119" s="102">
        <f t="shared" si="42"/>
        <v>53.125685212464781</v>
      </c>
      <c r="Q119" s="104">
        <f t="shared" si="43"/>
        <v>179.4311222407751</v>
      </c>
      <c r="R119" s="105">
        <f t="shared" si="45"/>
        <v>50.900000000000006</v>
      </c>
      <c r="S119" s="105">
        <v>50.900000000000006</v>
      </c>
      <c r="T119" s="106">
        <f t="shared" si="29"/>
        <v>50.900000000000006</v>
      </c>
      <c r="U119" s="107">
        <f t="shared" si="30"/>
        <v>516.98612175269704</v>
      </c>
      <c r="V119" s="102">
        <f t="shared" si="44"/>
        <v>129.24653043817426</v>
      </c>
      <c r="W119" s="108">
        <v>646</v>
      </c>
      <c r="X119" s="109">
        <v>631.67227726280669</v>
      </c>
      <c r="Y119" s="110">
        <f t="shared" si="32"/>
        <v>1.0226822091975905</v>
      </c>
      <c r="Z119" s="110">
        <f t="shared" si="31"/>
        <v>2.2682209197590453E-2</v>
      </c>
      <c r="AA119" s="111"/>
      <c r="AB119" s="112"/>
      <c r="AC119" s="113"/>
    </row>
    <row r="120" spans="1:29" s="114" customFormat="1" ht="15" customHeight="1" x14ac:dyDescent="0.2">
      <c r="A120" s="98" t="s">
        <v>463</v>
      </c>
      <c r="B120" s="99" t="s">
        <v>834</v>
      </c>
      <c r="C120" s="100">
        <v>942048</v>
      </c>
      <c r="D120" s="101">
        <v>1925</v>
      </c>
      <c r="E120" s="101">
        <v>35</v>
      </c>
      <c r="F120" s="102">
        <f t="shared" si="40"/>
        <v>285.46909090909088</v>
      </c>
      <c r="G120" s="103">
        <v>471732</v>
      </c>
      <c r="H120" s="101">
        <v>1925</v>
      </c>
      <c r="I120" s="101">
        <v>22</v>
      </c>
      <c r="J120" s="102">
        <f t="shared" si="39"/>
        <v>89.853714285714275</v>
      </c>
      <c r="K120" s="101">
        <v>4435000</v>
      </c>
      <c r="L120" s="101">
        <v>846720</v>
      </c>
      <c r="M120" s="101">
        <v>30</v>
      </c>
      <c r="N120" s="102">
        <f t="shared" si="34"/>
        <v>157.13577097505669</v>
      </c>
      <c r="O120" s="102">
        <f t="shared" si="41"/>
        <v>532.45857616986177</v>
      </c>
      <c r="P120" s="102">
        <f t="shared" si="42"/>
        <v>160.80249000329826</v>
      </c>
      <c r="Q120" s="104">
        <f t="shared" si="43"/>
        <v>543.10774769325906</v>
      </c>
      <c r="R120" s="105">
        <f t="shared" si="45"/>
        <v>50.900000000000006</v>
      </c>
      <c r="S120" s="105">
        <v>50.9</v>
      </c>
      <c r="T120" s="106">
        <f t="shared" si="29"/>
        <v>50.9</v>
      </c>
      <c r="U120" s="107">
        <f t="shared" si="30"/>
        <v>1444.4045848414758</v>
      </c>
      <c r="V120" s="102">
        <f t="shared" si="44"/>
        <v>361.10114621036894</v>
      </c>
      <c r="W120" s="108">
        <v>1806</v>
      </c>
      <c r="X120" s="109">
        <v>1728.6368737481214</v>
      </c>
      <c r="Y120" s="110">
        <f t="shared" si="32"/>
        <v>1.0447538331657451</v>
      </c>
      <c r="Z120" s="110">
        <f t="shared" si="31"/>
        <v>4.4753833165745105E-2</v>
      </c>
      <c r="AA120" s="111"/>
      <c r="AB120" s="112"/>
      <c r="AC120" s="113"/>
    </row>
    <row r="121" spans="1:29" s="114" customFormat="1" ht="15" customHeight="1" x14ac:dyDescent="0.2">
      <c r="A121" s="98" t="s">
        <v>464</v>
      </c>
      <c r="B121" s="99" t="s">
        <v>835</v>
      </c>
      <c r="C121" s="100">
        <v>942048</v>
      </c>
      <c r="D121" s="101">
        <v>1925</v>
      </c>
      <c r="E121" s="101">
        <v>46</v>
      </c>
      <c r="F121" s="102">
        <f t="shared" si="40"/>
        <v>375.18794805194807</v>
      </c>
      <c r="G121" s="103">
        <v>471732</v>
      </c>
      <c r="H121" s="101">
        <v>1925</v>
      </c>
      <c r="I121" s="101">
        <v>31</v>
      </c>
      <c r="J121" s="102">
        <f t="shared" si="39"/>
        <v>126.61205194805194</v>
      </c>
      <c r="K121" s="101">
        <v>4435000</v>
      </c>
      <c r="L121" s="101">
        <v>846720</v>
      </c>
      <c r="M121" s="101">
        <v>35</v>
      </c>
      <c r="N121" s="102">
        <f t="shared" si="34"/>
        <v>183.32506613756613</v>
      </c>
      <c r="O121" s="102">
        <f t="shared" si="41"/>
        <v>685.12506613756614</v>
      </c>
      <c r="P121" s="102">
        <f t="shared" si="42"/>
        <v>206.90776997354496</v>
      </c>
      <c r="Q121" s="104">
        <f t="shared" si="43"/>
        <v>698.82756746031748</v>
      </c>
      <c r="R121" s="105">
        <f t="shared" si="45"/>
        <v>50.900000000000006</v>
      </c>
      <c r="S121" s="105">
        <v>50.9</v>
      </c>
      <c r="T121" s="106">
        <f t="shared" si="29"/>
        <v>50.9</v>
      </c>
      <c r="U121" s="107">
        <f t="shared" si="30"/>
        <v>1825.0854697089949</v>
      </c>
      <c r="V121" s="102">
        <f t="shared" si="44"/>
        <v>456.27136742724872</v>
      </c>
      <c r="W121" s="108">
        <v>2281</v>
      </c>
      <c r="X121" s="109">
        <v>2273.5778023212783</v>
      </c>
      <c r="Y121" s="110">
        <f t="shared" si="32"/>
        <v>1.0032645452779947</v>
      </c>
      <c r="Z121" s="110">
        <f t="shared" si="31"/>
        <v>3.2645452779946904E-3</v>
      </c>
      <c r="AA121" s="111"/>
      <c r="AB121" s="112"/>
      <c r="AC121" s="113"/>
    </row>
    <row r="122" spans="1:29" s="114" customFormat="1" ht="15" customHeight="1" x14ac:dyDescent="0.2">
      <c r="A122" s="98" t="s">
        <v>465</v>
      </c>
      <c r="B122" s="99" t="s">
        <v>733</v>
      </c>
      <c r="C122" s="100">
        <v>942048</v>
      </c>
      <c r="D122" s="101">
        <v>1925</v>
      </c>
      <c r="E122" s="101">
        <v>15</v>
      </c>
      <c r="F122" s="102">
        <f t="shared" si="40"/>
        <v>122.3438961038961</v>
      </c>
      <c r="G122" s="103">
        <v>471732</v>
      </c>
      <c r="H122" s="101">
        <v>1925</v>
      </c>
      <c r="I122" s="101">
        <v>13</v>
      </c>
      <c r="J122" s="102">
        <f t="shared" si="39"/>
        <v>53.095376623376623</v>
      </c>
      <c r="K122" s="101">
        <v>4435000</v>
      </c>
      <c r="L122" s="101">
        <v>846720</v>
      </c>
      <c r="M122" s="101">
        <v>10</v>
      </c>
      <c r="N122" s="102">
        <f t="shared" si="34"/>
        <v>52.378590325018891</v>
      </c>
      <c r="O122" s="102">
        <f t="shared" si="41"/>
        <v>227.81786305229161</v>
      </c>
      <c r="P122" s="102">
        <f t="shared" si="42"/>
        <v>68.800994641792059</v>
      </c>
      <c r="Q122" s="104">
        <f t="shared" si="43"/>
        <v>232.37422031333745</v>
      </c>
      <c r="R122" s="105">
        <f t="shared" si="45"/>
        <v>50.900000000000006</v>
      </c>
      <c r="S122" s="105">
        <v>50.900000000000006</v>
      </c>
      <c r="T122" s="106">
        <f t="shared" si="29"/>
        <v>50.900000000000006</v>
      </c>
      <c r="U122" s="107">
        <f t="shared" si="30"/>
        <v>632.27166833243996</v>
      </c>
      <c r="V122" s="102">
        <f t="shared" si="44"/>
        <v>158.06791708310999</v>
      </c>
      <c r="W122" s="108">
        <v>790</v>
      </c>
      <c r="X122" s="109">
        <v>768.0632763420665</v>
      </c>
      <c r="Y122" s="110">
        <f t="shared" si="32"/>
        <v>1.0285610890842329</v>
      </c>
      <c r="Z122" s="110">
        <f t="shared" si="31"/>
        <v>2.8561089084232938E-2</v>
      </c>
      <c r="AA122" s="111"/>
      <c r="AB122" s="112"/>
      <c r="AC122" s="113"/>
    </row>
    <row r="123" spans="1:29" s="114" customFormat="1" ht="15" customHeight="1" x14ac:dyDescent="0.2">
      <c r="A123" s="98" t="s">
        <v>466</v>
      </c>
      <c r="B123" s="99" t="s">
        <v>732</v>
      </c>
      <c r="C123" s="100">
        <v>942048</v>
      </c>
      <c r="D123" s="101">
        <v>1925</v>
      </c>
      <c r="E123" s="101">
        <v>15</v>
      </c>
      <c r="F123" s="102">
        <f t="shared" si="40"/>
        <v>122.3438961038961</v>
      </c>
      <c r="G123" s="103">
        <v>471732</v>
      </c>
      <c r="H123" s="101">
        <v>1925</v>
      </c>
      <c r="I123" s="101">
        <v>17</v>
      </c>
      <c r="J123" s="102">
        <f>G123/H123/60*I123</f>
        <v>69.43241558441558</v>
      </c>
      <c r="K123" s="101">
        <v>4435000</v>
      </c>
      <c r="L123" s="101">
        <v>846720</v>
      </c>
      <c r="M123" s="101">
        <v>15</v>
      </c>
      <c r="N123" s="102">
        <f>K123/L123*M123</f>
        <v>78.567885487528343</v>
      </c>
      <c r="O123" s="102">
        <f>F123+J123+N123</f>
        <v>270.34419717584001</v>
      </c>
      <c r="P123" s="102">
        <f>O123*0.302</f>
        <v>81.643947547103679</v>
      </c>
      <c r="Q123" s="104">
        <f>(O123)*102%</f>
        <v>275.7510811193568</v>
      </c>
      <c r="R123" s="105">
        <f>0.66*6+3.1612*2+16.41*2+8.4*2+0.11*5+15.96</f>
        <v>76.412399999999991</v>
      </c>
      <c r="S123" s="105">
        <v>76.412399999999991</v>
      </c>
      <c r="T123" s="106">
        <f t="shared" si="29"/>
        <v>76.412399999999991</v>
      </c>
      <c r="U123" s="107">
        <f t="shared" si="30"/>
        <v>782.71951132982872</v>
      </c>
      <c r="V123" s="102">
        <f>U123*25%</f>
        <v>195.67987783245718</v>
      </c>
      <c r="W123" s="108">
        <v>978</v>
      </c>
      <c r="X123" s="109">
        <v>946.72882790773372</v>
      </c>
      <c r="Y123" s="110">
        <f t="shared" si="32"/>
        <v>1.033030759358385</v>
      </c>
      <c r="Z123" s="110">
        <f t="shared" si="31"/>
        <v>3.3030759358384953E-2</v>
      </c>
      <c r="AA123" s="111"/>
      <c r="AB123" s="112"/>
      <c r="AC123" s="113"/>
    </row>
    <row r="124" spans="1:29" s="114" customFormat="1" ht="15" customHeight="1" x14ac:dyDescent="0.2">
      <c r="A124" s="98" t="s">
        <v>467</v>
      </c>
      <c r="B124" s="99" t="s">
        <v>734</v>
      </c>
      <c r="C124" s="100">
        <v>942048</v>
      </c>
      <c r="D124" s="101">
        <v>1925</v>
      </c>
      <c r="E124" s="101">
        <v>15</v>
      </c>
      <c r="F124" s="102">
        <f t="shared" si="40"/>
        <v>122.3438961038961</v>
      </c>
      <c r="G124" s="103">
        <v>471732</v>
      </c>
      <c r="H124" s="101">
        <v>1925</v>
      </c>
      <c r="I124" s="101">
        <v>14</v>
      </c>
      <c r="J124" s="102">
        <f t="shared" si="39"/>
        <v>57.179636363636362</v>
      </c>
      <c r="K124" s="101">
        <v>4435000</v>
      </c>
      <c r="L124" s="101">
        <v>846720</v>
      </c>
      <c r="M124" s="101">
        <v>12</v>
      </c>
      <c r="N124" s="102">
        <f t="shared" si="34"/>
        <v>62.854308390022673</v>
      </c>
      <c r="O124" s="102">
        <f t="shared" si="41"/>
        <v>242.37784085755513</v>
      </c>
      <c r="P124" s="102">
        <f t="shared" si="42"/>
        <v>73.19810793898165</v>
      </c>
      <c r="Q124" s="104">
        <f t="shared" si="43"/>
        <v>247.22539767470624</v>
      </c>
      <c r="R124" s="105">
        <f t="shared" ref="R124:R146" si="46">17.02+9.95+1.54*5+3.16*3+6.75</f>
        <v>50.900000000000006</v>
      </c>
      <c r="S124" s="105">
        <v>50.900000000000006</v>
      </c>
      <c r="T124" s="106">
        <f t="shared" si="29"/>
        <v>50.900000000000006</v>
      </c>
      <c r="U124" s="107">
        <f t="shared" si="30"/>
        <v>676.55565486126568</v>
      </c>
      <c r="V124" s="102">
        <f t="shared" si="44"/>
        <v>169.13891371531642</v>
      </c>
      <c r="W124" s="108">
        <v>846</v>
      </c>
      <c r="X124" s="109">
        <v>824.65682151357328</v>
      </c>
      <c r="Y124" s="110">
        <f t="shared" si="32"/>
        <v>1.0258812853172712</v>
      </c>
      <c r="Z124" s="110">
        <f t="shared" si="31"/>
        <v>2.5881285317271185E-2</v>
      </c>
      <c r="AA124" s="111"/>
      <c r="AB124" s="112"/>
      <c r="AC124" s="113"/>
    </row>
    <row r="125" spans="1:29" s="114" customFormat="1" ht="15" customHeight="1" x14ac:dyDescent="0.2">
      <c r="A125" s="98" t="s">
        <v>468</v>
      </c>
      <c r="B125" s="99" t="s">
        <v>735</v>
      </c>
      <c r="C125" s="100">
        <v>942048</v>
      </c>
      <c r="D125" s="101">
        <v>1925</v>
      </c>
      <c r="E125" s="101">
        <v>20</v>
      </c>
      <c r="F125" s="102">
        <f t="shared" si="40"/>
        <v>163.12519480519481</v>
      </c>
      <c r="G125" s="103">
        <v>471732</v>
      </c>
      <c r="H125" s="101">
        <v>1925</v>
      </c>
      <c r="I125" s="101">
        <v>20</v>
      </c>
      <c r="J125" s="102">
        <f>G125/H125/60*I125</f>
        <v>81.685194805194797</v>
      </c>
      <c r="K125" s="101">
        <v>4435000</v>
      </c>
      <c r="L125" s="101">
        <v>846720</v>
      </c>
      <c r="M125" s="101">
        <v>15</v>
      </c>
      <c r="N125" s="102">
        <f>K125/L125*M125</f>
        <v>78.567885487528343</v>
      </c>
      <c r="O125" s="102">
        <f>F125+J125+N125</f>
        <v>323.37827509791794</v>
      </c>
      <c r="P125" s="102">
        <f>O125*0.302</f>
        <v>97.660239079571213</v>
      </c>
      <c r="Q125" s="104">
        <f>(O125)*102%</f>
        <v>329.84584059987628</v>
      </c>
      <c r="R125" s="105">
        <f t="shared" si="46"/>
        <v>50.900000000000006</v>
      </c>
      <c r="S125" s="105">
        <v>50.900000000000006</v>
      </c>
      <c r="T125" s="106">
        <f t="shared" si="29"/>
        <v>50.900000000000006</v>
      </c>
      <c r="U125" s="107">
        <f t="shared" si="30"/>
        <v>880.35224026489379</v>
      </c>
      <c r="V125" s="102">
        <f>U125*25%</f>
        <v>220.08806006622345</v>
      </c>
      <c r="W125" s="108">
        <v>1100</v>
      </c>
      <c r="X125" s="109">
        <v>1092.1752257410415</v>
      </c>
      <c r="Y125" s="110">
        <f t="shared" si="32"/>
        <v>1.0071643945719877</v>
      </c>
      <c r="Z125" s="110">
        <f t="shared" si="31"/>
        <v>7.1643945719876978E-3</v>
      </c>
      <c r="AA125" s="111"/>
      <c r="AB125" s="112"/>
      <c r="AC125" s="113"/>
    </row>
    <row r="126" spans="1:29" s="114" customFormat="1" ht="15" customHeight="1" x14ac:dyDescent="0.2">
      <c r="A126" s="98" t="s">
        <v>469</v>
      </c>
      <c r="B126" s="99" t="s">
        <v>252</v>
      </c>
      <c r="C126" s="100">
        <v>942048</v>
      </c>
      <c r="D126" s="101">
        <v>1925</v>
      </c>
      <c r="E126" s="101">
        <v>10</v>
      </c>
      <c r="F126" s="102">
        <f t="shared" si="40"/>
        <v>81.562597402597405</v>
      </c>
      <c r="G126" s="103">
        <v>471732</v>
      </c>
      <c r="H126" s="101">
        <v>1925</v>
      </c>
      <c r="I126" s="101">
        <v>7</v>
      </c>
      <c r="J126" s="102">
        <f t="shared" si="39"/>
        <v>28.589818181818181</v>
      </c>
      <c r="K126" s="101">
        <v>4435000</v>
      </c>
      <c r="L126" s="101">
        <v>846720</v>
      </c>
      <c r="M126" s="101">
        <v>7</v>
      </c>
      <c r="N126" s="102">
        <f t="shared" si="34"/>
        <v>36.665013227513228</v>
      </c>
      <c r="O126" s="102">
        <f t="shared" si="41"/>
        <v>146.81742881192883</v>
      </c>
      <c r="P126" s="102">
        <f t="shared" si="42"/>
        <v>44.338863501202503</v>
      </c>
      <c r="Q126" s="104">
        <f t="shared" si="43"/>
        <v>149.75377738816741</v>
      </c>
      <c r="R126" s="105">
        <f t="shared" si="46"/>
        <v>50.900000000000006</v>
      </c>
      <c r="S126" s="105">
        <v>50.900000000000006</v>
      </c>
      <c r="T126" s="106">
        <f t="shared" si="29"/>
        <v>50.900000000000006</v>
      </c>
      <c r="U126" s="107">
        <f t="shared" si="30"/>
        <v>428.47508292881196</v>
      </c>
      <c r="V126" s="102">
        <f t="shared" si="44"/>
        <v>107.11877073220299</v>
      </c>
      <c r="W126" s="108">
        <v>536</v>
      </c>
      <c r="X126" s="109">
        <v>523.65122080424783</v>
      </c>
      <c r="Y126" s="110">
        <f t="shared" si="32"/>
        <v>1.0235820689518995</v>
      </c>
      <c r="Z126" s="110">
        <f t="shared" si="31"/>
        <v>2.3582068951899515E-2</v>
      </c>
      <c r="AA126" s="111"/>
      <c r="AB126" s="112"/>
      <c r="AC126" s="113"/>
    </row>
    <row r="127" spans="1:29" s="114" customFormat="1" ht="15" customHeight="1" x14ac:dyDescent="0.2">
      <c r="A127" s="98" t="s">
        <v>470</v>
      </c>
      <c r="B127" s="99" t="s">
        <v>836</v>
      </c>
      <c r="C127" s="100">
        <v>942048</v>
      </c>
      <c r="D127" s="101">
        <v>1925</v>
      </c>
      <c r="E127" s="101">
        <v>30</v>
      </c>
      <c r="F127" s="102">
        <f t="shared" si="40"/>
        <v>244.6877922077922</v>
      </c>
      <c r="G127" s="103">
        <v>471732</v>
      </c>
      <c r="H127" s="101">
        <v>1925</v>
      </c>
      <c r="I127" s="101">
        <v>20</v>
      </c>
      <c r="J127" s="102">
        <f t="shared" si="39"/>
        <v>81.685194805194797</v>
      </c>
      <c r="K127" s="101">
        <v>4435000</v>
      </c>
      <c r="L127" s="101">
        <v>846720</v>
      </c>
      <c r="M127" s="101">
        <v>30</v>
      </c>
      <c r="N127" s="102">
        <f t="shared" si="34"/>
        <v>157.13577097505669</v>
      </c>
      <c r="O127" s="102">
        <f t="shared" si="41"/>
        <v>483.50875798804367</v>
      </c>
      <c r="P127" s="102">
        <f t="shared" si="42"/>
        <v>146.0196449123892</v>
      </c>
      <c r="Q127" s="104">
        <f t="shared" si="43"/>
        <v>493.17893314780457</v>
      </c>
      <c r="R127" s="105">
        <f t="shared" si="46"/>
        <v>50.900000000000006</v>
      </c>
      <c r="S127" s="105">
        <v>50.9</v>
      </c>
      <c r="T127" s="106">
        <f t="shared" si="29"/>
        <v>50.9</v>
      </c>
      <c r="U127" s="107">
        <f t="shared" si="30"/>
        <v>1330.7431070232942</v>
      </c>
      <c r="V127" s="102">
        <f t="shared" si="44"/>
        <v>332.68577675582355</v>
      </c>
      <c r="W127" s="108">
        <v>1663</v>
      </c>
      <c r="X127" s="109">
        <v>1657.8778498986144</v>
      </c>
      <c r="Y127" s="110">
        <f t="shared" si="32"/>
        <v>1.0030895823245958</v>
      </c>
      <c r="Z127" s="110">
        <f t="shared" si="31"/>
        <v>3.0895823245957743E-3</v>
      </c>
      <c r="AA127" s="111"/>
      <c r="AB127" s="112"/>
      <c r="AC127" s="113"/>
    </row>
    <row r="128" spans="1:29" s="114" customFormat="1" ht="15" customHeight="1" x14ac:dyDescent="0.2">
      <c r="A128" s="98" t="s">
        <v>471</v>
      </c>
      <c r="B128" s="99" t="s">
        <v>248</v>
      </c>
      <c r="C128" s="100">
        <v>942048</v>
      </c>
      <c r="D128" s="101">
        <v>1925</v>
      </c>
      <c r="E128" s="101">
        <v>10</v>
      </c>
      <c r="F128" s="102">
        <f t="shared" si="40"/>
        <v>81.562597402597405</v>
      </c>
      <c r="G128" s="103">
        <v>471732</v>
      </c>
      <c r="H128" s="101">
        <v>1925</v>
      </c>
      <c r="I128" s="101">
        <v>7</v>
      </c>
      <c r="J128" s="102">
        <f t="shared" si="39"/>
        <v>28.589818181818181</v>
      </c>
      <c r="K128" s="101">
        <v>4435000</v>
      </c>
      <c r="L128" s="101">
        <v>846720</v>
      </c>
      <c r="M128" s="101">
        <v>7</v>
      </c>
      <c r="N128" s="102">
        <f t="shared" si="34"/>
        <v>36.665013227513228</v>
      </c>
      <c r="O128" s="102">
        <f t="shared" si="41"/>
        <v>146.81742881192883</v>
      </c>
      <c r="P128" s="102">
        <f t="shared" si="42"/>
        <v>44.338863501202503</v>
      </c>
      <c r="Q128" s="104">
        <f t="shared" si="43"/>
        <v>149.75377738816741</v>
      </c>
      <c r="R128" s="105">
        <f t="shared" si="46"/>
        <v>50.900000000000006</v>
      </c>
      <c r="S128" s="105">
        <v>50.900000000000006</v>
      </c>
      <c r="T128" s="106">
        <f t="shared" si="29"/>
        <v>50.900000000000006</v>
      </c>
      <c r="U128" s="107">
        <f t="shared" si="30"/>
        <v>428.47508292881196</v>
      </c>
      <c r="V128" s="102">
        <f t="shared" si="44"/>
        <v>107.11877073220299</v>
      </c>
      <c r="W128" s="108">
        <v>536</v>
      </c>
      <c r="X128" s="109">
        <v>523.65122080424783</v>
      </c>
      <c r="Y128" s="110">
        <f t="shared" si="32"/>
        <v>1.0235820689518995</v>
      </c>
      <c r="Z128" s="110">
        <f t="shared" si="31"/>
        <v>2.3582068951899515E-2</v>
      </c>
      <c r="AA128" s="111"/>
      <c r="AB128" s="112"/>
      <c r="AC128" s="113"/>
    </row>
    <row r="129" spans="1:29" s="114" customFormat="1" ht="15" customHeight="1" x14ac:dyDescent="0.2">
      <c r="A129" s="98" t="s">
        <v>472</v>
      </c>
      <c r="B129" s="99" t="s">
        <v>249</v>
      </c>
      <c r="C129" s="100">
        <v>942048</v>
      </c>
      <c r="D129" s="101">
        <v>1925</v>
      </c>
      <c r="E129" s="101">
        <v>25</v>
      </c>
      <c r="F129" s="102">
        <f t="shared" si="40"/>
        <v>203.90649350649349</v>
      </c>
      <c r="G129" s="103">
        <v>471732</v>
      </c>
      <c r="H129" s="101">
        <v>1925</v>
      </c>
      <c r="I129" s="101">
        <v>20</v>
      </c>
      <c r="J129" s="102">
        <f t="shared" si="39"/>
        <v>81.685194805194797</v>
      </c>
      <c r="K129" s="101">
        <v>4435000</v>
      </c>
      <c r="L129" s="101">
        <v>846720</v>
      </c>
      <c r="M129" s="101">
        <v>14</v>
      </c>
      <c r="N129" s="102">
        <f t="shared" si="34"/>
        <v>73.330026455026456</v>
      </c>
      <c r="O129" s="102">
        <f t="shared" si="41"/>
        <v>358.92171476671479</v>
      </c>
      <c r="P129" s="102">
        <f t="shared" si="42"/>
        <v>108.39435785954787</v>
      </c>
      <c r="Q129" s="104">
        <f t="shared" si="43"/>
        <v>366.10014906204907</v>
      </c>
      <c r="R129" s="105">
        <f t="shared" si="46"/>
        <v>50.900000000000006</v>
      </c>
      <c r="S129" s="105">
        <v>50.900000000000006</v>
      </c>
      <c r="T129" s="106">
        <f t="shared" si="29"/>
        <v>50.900000000000006</v>
      </c>
      <c r="U129" s="107">
        <f t="shared" si="30"/>
        <v>957.64624814333808</v>
      </c>
      <c r="V129" s="102">
        <f t="shared" si="44"/>
        <v>239.41156203583452</v>
      </c>
      <c r="W129" s="108">
        <v>1197</v>
      </c>
      <c r="X129" s="109">
        <v>1158.770451077366</v>
      </c>
      <c r="Y129" s="110">
        <f t="shared" si="32"/>
        <v>1.0329914772050754</v>
      </c>
      <c r="Z129" s="110">
        <f t="shared" si="31"/>
        <v>3.2991477205075448E-2</v>
      </c>
      <c r="AA129" s="111"/>
      <c r="AB129" s="112"/>
      <c r="AC129" s="113"/>
    </row>
    <row r="130" spans="1:29" s="114" customFormat="1" ht="15" customHeight="1" x14ac:dyDescent="0.2">
      <c r="A130" s="98" t="s">
        <v>473</v>
      </c>
      <c r="B130" s="116" t="s">
        <v>281</v>
      </c>
      <c r="C130" s="100">
        <v>942048</v>
      </c>
      <c r="D130" s="101">
        <v>1925</v>
      </c>
      <c r="E130" s="101">
        <v>35</v>
      </c>
      <c r="F130" s="102">
        <f t="shared" si="40"/>
        <v>285.46909090909088</v>
      </c>
      <c r="G130" s="103">
        <v>471732</v>
      </c>
      <c r="H130" s="101">
        <v>1925</v>
      </c>
      <c r="I130" s="101">
        <v>25</v>
      </c>
      <c r="J130" s="102">
        <f t="shared" si="39"/>
        <v>102.10649350649351</v>
      </c>
      <c r="K130" s="101">
        <v>4435000</v>
      </c>
      <c r="L130" s="101">
        <v>846720</v>
      </c>
      <c r="M130" s="101">
        <v>28</v>
      </c>
      <c r="N130" s="102">
        <f t="shared" si="34"/>
        <v>146.66005291005291</v>
      </c>
      <c r="O130" s="102">
        <f t="shared" si="41"/>
        <v>534.2356373256373</v>
      </c>
      <c r="P130" s="102">
        <f t="shared" si="42"/>
        <v>161.33916247234245</v>
      </c>
      <c r="Q130" s="104">
        <f t="shared" si="43"/>
        <v>544.92035007215009</v>
      </c>
      <c r="R130" s="105">
        <f t="shared" si="46"/>
        <v>50.900000000000006</v>
      </c>
      <c r="S130" s="105">
        <v>50.900000000000006</v>
      </c>
      <c r="T130" s="106">
        <f t="shared" ref="T130:T177" si="47">S130*1</f>
        <v>50.900000000000006</v>
      </c>
      <c r="U130" s="107">
        <f t="shared" ref="U130:U191" si="48">N130+O130+P130+Q130+T130</f>
        <v>1438.0552027801828</v>
      </c>
      <c r="V130" s="102">
        <f t="shared" si="44"/>
        <v>359.51380069504569</v>
      </c>
      <c r="W130" s="108">
        <v>1798</v>
      </c>
      <c r="X130" s="109">
        <v>1783.4112735116796</v>
      </c>
      <c r="Y130" s="110">
        <f t="shared" si="32"/>
        <v>1.0081802367771255</v>
      </c>
      <c r="Z130" s="110">
        <f t="shared" ref="Z130:Z189" si="49">Y130-100%</f>
        <v>8.180236777125538E-3</v>
      </c>
      <c r="AA130" s="111"/>
      <c r="AB130" s="112"/>
      <c r="AC130" s="113"/>
    </row>
    <row r="131" spans="1:29" s="114" customFormat="1" ht="15" customHeight="1" x14ac:dyDescent="0.2">
      <c r="A131" s="98" t="s">
        <v>474</v>
      </c>
      <c r="B131" s="99" t="s">
        <v>250</v>
      </c>
      <c r="C131" s="100">
        <v>942048</v>
      </c>
      <c r="D131" s="101">
        <v>1925</v>
      </c>
      <c r="E131" s="101">
        <v>15</v>
      </c>
      <c r="F131" s="102">
        <f t="shared" si="40"/>
        <v>122.3438961038961</v>
      </c>
      <c r="G131" s="103">
        <v>471732</v>
      </c>
      <c r="H131" s="101">
        <v>1925</v>
      </c>
      <c r="I131" s="101">
        <v>10</v>
      </c>
      <c r="J131" s="102">
        <f t="shared" si="39"/>
        <v>40.842597402597399</v>
      </c>
      <c r="K131" s="101">
        <v>4435000</v>
      </c>
      <c r="L131" s="101">
        <v>846720</v>
      </c>
      <c r="M131" s="101">
        <v>11</v>
      </c>
      <c r="N131" s="102">
        <f t="shared" si="34"/>
        <v>57.616449357520786</v>
      </c>
      <c r="O131" s="102">
        <f t="shared" si="41"/>
        <v>220.80294286401428</v>
      </c>
      <c r="P131" s="102">
        <f t="shared" si="42"/>
        <v>66.682488744932314</v>
      </c>
      <c r="Q131" s="104">
        <f t="shared" si="43"/>
        <v>225.21900172129457</v>
      </c>
      <c r="R131" s="105">
        <f t="shared" si="46"/>
        <v>50.900000000000006</v>
      </c>
      <c r="S131" s="105">
        <v>50.900000000000006</v>
      </c>
      <c r="T131" s="106">
        <f t="shared" si="47"/>
        <v>50.900000000000006</v>
      </c>
      <c r="U131" s="107">
        <f t="shared" si="48"/>
        <v>621.2208826877619</v>
      </c>
      <c r="V131" s="102">
        <f t="shared" si="44"/>
        <v>155.30522067194048</v>
      </c>
      <c r="W131" s="108">
        <v>777</v>
      </c>
      <c r="X131" s="109">
        <v>765.24189556284568</v>
      </c>
      <c r="Y131" s="110">
        <f t="shared" si="32"/>
        <v>1.0153652126279704</v>
      </c>
      <c r="Z131" s="110">
        <f t="shared" si="49"/>
        <v>1.5365212627970415E-2</v>
      </c>
      <c r="AA131" s="111"/>
      <c r="AB131" s="112"/>
      <c r="AC131" s="113"/>
    </row>
    <row r="132" spans="1:29" s="114" customFormat="1" ht="15" customHeight="1" x14ac:dyDescent="0.2">
      <c r="A132" s="98" t="s">
        <v>475</v>
      </c>
      <c r="B132" s="99" t="s">
        <v>251</v>
      </c>
      <c r="C132" s="100">
        <v>942048</v>
      </c>
      <c r="D132" s="101">
        <v>1925</v>
      </c>
      <c r="E132" s="101">
        <v>35</v>
      </c>
      <c r="F132" s="102">
        <f t="shared" si="40"/>
        <v>285.46909090909088</v>
      </c>
      <c r="G132" s="103">
        <v>471732</v>
      </c>
      <c r="H132" s="101">
        <v>1925</v>
      </c>
      <c r="I132" s="101">
        <v>25</v>
      </c>
      <c r="J132" s="102">
        <f t="shared" si="39"/>
        <v>102.10649350649351</v>
      </c>
      <c r="K132" s="101">
        <v>4435000</v>
      </c>
      <c r="L132" s="101">
        <v>846720</v>
      </c>
      <c r="M132" s="101">
        <v>25</v>
      </c>
      <c r="N132" s="102">
        <f t="shared" si="34"/>
        <v>130.94647581254725</v>
      </c>
      <c r="O132" s="102">
        <f t="shared" si="41"/>
        <v>518.52206022813164</v>
      </c>
      <c r="P132" s="102">
        <f t="shared" si="42"/>
        <v>156.59366218889576</v>
      </c>
      <c r="Q132" s="104">
        <f t="shared" si="43"/>
        <v>528.8925014326943</v>
      </c>
      <c r="R132" s="105">
        <f t="shared" si="46"/>
        <v>50.900000000000006</v>
      </c>
      <c r="S132" s="105">
        <v>50.900000000000006</v>
      </c>
      <c r="T132" s="106">
        <f t="shared" si="47"/>
        <v>50.900000000000006</v>
      </c>
      <c r="U132" s="107">
        <f t="shared" si="48"/>
        <v>1385.854699662269</v>
      </c>
      <c r="V132" s="102">
        <f t="shared" si="44"/>
        <v>346.46367491556725</v>
      </c>
      <c r="W132" s="108">
        <v>1732</v>
      </c>
      <c r="X132" s="109">
        <v>1693.856039555601</v>
      </c>
      <c r="Y132" s="110">
        <f t="shared" si="32"/>
        <v>1.0225190096169015</v>
      </c>
      <c r="Z132" s="110">
        <f t="shared" si="49"/>
        <v>2.2519009616901453E-2</v>
      </c>
      <c r="AA132" s="111"/>
      <c r="AB132" s="112"/>
      <c r="AC132" s="113"/>
    </row>
    <row r="133" spans="1:29" s="114" customFormat="1" ht="15" customHeight="1" x14ac:dyDescent="0.2">
      <c r="A133" s="98" t="s">
        <v>476</v>
      </c>
      <c r="B133" s="99" t="s">
        <v>359</v>
      </c>
      <c r="C133" s="100">
        <v>942048</v>
      </c>
      <c r="D133" s="101">
        <v>1925</v>
      </c>
      <c r="E133" s="101">
        <v>12</v>
      </c>
      <c r="F133" s="102">
        <f t="shared" si="40"/>
        <v>97.875116883116874</v>
      </c>
      <c r="G133" s="103">
        <v>471732</v>
      </c>
      <c r="H133" s="101">
        <v>1925</v>
      </c>
      <c r="I133" s="101">
        <v>5</v>
      </c>
      <c r="J133" s="102">
        <f>G133/H133/60*I133</f>
        <v>20.421298701298699</v>
      </c>
      <c r="K133" s="101">
        <v>4435000</v>
      </c>
      <c r="L133" s="101">
        <v>846720</v>
      </c>
      <c r="M133" s="101">
        <v>11</v>
      </c>
      <c r="N133" s="102">
        <f t="shared" si="34"/>
        <v>57.616449357520786</v>
      </c>
      <c r="O133" s="102">
        <f>F133+J133+N133</f>
        <v>175.91286494193636</v>
      </c>
      <c r="P133" s="102">
        <f>O133*0.302</f>
        <v>53.125685212464781</v>
      </c>
      <c r="Q133" s="104">
        <f>(O133)*102%</f>
        <v>179.4311222407751</v>
      </c>
      <c r="R133" s="105">
        <f t="shared" si="46"/>
        <v>50.900000000000006</v>
      </c>
      <c r="S133" s="105">
        <v>50.900000000000006</v>
      </c>
      <c r="T133" s="106">
        <f t="shared" si="47"/>
        <v>50.900000000000006</v>
      </c>
      <c r="U133" s="107">
        <f t="shared" si="48"/>
        <v>516.98612175269704</v>
      </c>
      <c r="V133" s="102">
        <f>U133*25%</f>
        <v>129.24653043817426</v>
      </c>
      <c r="W133" s="108">
        <v>646</v>
      </c>
      <c r="X133" s="109">
        <v>642.05312505501433</v>
      </c>
      <c r="Y133" s="110">
        <f t="shared" si="32"/>
        <v>1.0061472716056752</v>
      </c>
      <c r="Z133" s="110">
        <f t="shared" si="49"/>
        <v>6.1472716056751864E-3</v>
      </c>
      <c r="AA133" s="111"/>
      <c r="AB133" s="112"/>
      <c r="AC133" s="113"/>
    </row>
    <row r="134" spans="1:29" s="114" customFormat="1" ht="15" customHeight="1" x14ac:dyDescent="0.2">
      <c r="A134" s="98" t="s">
        <v>477</v>
      </c>
      <c r="B134" s="99" t="s">
        <v>244</v>
      </c>
      <c r="C134" s="100">
        <v>942048</v>
      </c>
      <c r="D134" s="101">
        <v>1925</v>
      </c>
      <c r="E134" s="101">
        <v>30</v>
      </c>
      <c r="F134" s="102">
        <f t="shared" si="40"/>
        <v>244.6877922077922</v>
      </c>
      <c r="G134" s="103">
        <v>471732</v>
      </c>
      <c r="H134" s="101">
        <v>1925</v>
      </c>
      <c r="I134" s="101">
        <v>20</v>
      </c>
      <c r="J134" s="102">
        <f t="shared" si="39"/>
        <v>81.685194805194797</v>
      </c>
      <c r="K134" s="101">
        <v>4435000</v>
      </c>
      <c r="L134" s="101">
        <v>846720</v>
      </c>
      <c r="M134" s="101">
        <v>15</v>
      </c>
      <c r="N134" s="102">
        <f t="shared" si="34"/>
        <v>78.567885487528343</v>
      </c>
      <c r="O134" s="102">
        <f t="shared" si="41"/>
        <v>404.9408725005153</v>
      </c>
      <c r="P134" s="102">
        <f t="shared" si="42"/>
        <v>122.29214349515561</v>
      </c>
      <c r="Q134" s="104">
        <f t="shared" si="43"/>
        <v>413.0396899505256</v>
      </c>
      <c r="R134" s="105">
        <f t="shared" si="46"/>
        <v>50.900000000000006</v>
      </c>
      <c r="S134" s="105">
        <v>50.900000000000006</v>
      </c>
      <c r="T134" s="106">
        <f t="shared" si="47"/>
        <v>50.900000000000006</v>
      </c>
      <c r="U134" s="107">
        <f t="shared" si="48"/>
        <v>1069.7405914337248</v>
      </c>
      <c r="V134" s="102">
        <f t="shared" si="44"/>
        <v>267.43514785843121</v>
      </c>
      <c r="W134" s="108">
        <v>1337</v>
      </c>
      <c r="X134" s="109">
        <v>1317.7910711722884</v>
      </c>
      <c r="Y134" s="110">
        <f t="shared" si="32"/>
        <v>1.0145766117618504</v>
      </c>
      <c r="Z134" s="110">
        <f t="shared" si="49"/>
        <v>1.4576611761850433E-2</v>
      </c>
      <c r="AA134" s="111"/>
      <c r="AB134" s="112"/>
      <c r="AC134" s="113"/>
    </row>
    <row r="135" spans="1:29" s="114" customFormat="1" ht="15" customHeight="1" x14ac:dyDescent="0.2">
      <c r="A135" s="98" t="s">
        <v>478</v>
      </c>
      <c r="B135" s="99" t="s">
        <v>245</v>
      </c>
      <c r="C135" s="100">
        <v>942048</v>
      </c>
      <c r="D135" s="101">
        <v>1925</v>
      </c>
      <c r="E135" s="101">
        <v>15</v>
      </c>
      <c r="F135" s="102">
        <f t="shared" si="40"/>
        <v>122.3438961038961</v>
      </c>
      <c r="G135" s="103">
        <v>471732</v>
      </c>
      <c r="H135" s="101">
        <v>1925</v>
      </c>
      <c r="I135" s="101">
        <v>10</v>
      </c>
      <c r="J135" s="102">
        <f t="shared" si="39"/>
        <v>40.842597402597399</v>
      </c>
      <c r="K135" s="101">
        <v>4435000</v>
      </c>
      <c r="L135" s="101">
        <v>846720</v>
      </c>
      <c r="M135" s="101">
        <v>6</v>
      </c>
      <c r="N135" s="102">
        <f t="shared" ref="N135:N146" si="50">K135/L135*M135</f>
        <v>31.427154195011337</v>
      </c>
      <c r="O135" s="102">
        <f t="shared" si="41"/>
        <v>194.61364770150482</v>
      </c>
      <c r="P135" s="102">
        <f t="shared" si="42"/>
        <v>58.773321605854456</v>
      </c>
      <c r="Q135" s="104">
        <f t="shared" si="43"/>
        <v>198.50592065553491</v>
      </c>
      <c r="R135" s="105">
        <f t="shared" si="46"/>
        <v>50.900000000000006</v>
      </c>
      <c r="S135" s="105">
        <v>50.900000000000006</v>
      </c>
      <c r="T135" s="106">
        <f t="shared" si="47"/>
        <v>50.900000000000006</v>
      </c>
      <c r="U135" s="107">
        <f t="shared" si="48"/>
        <v>534.22004415790548</v>
      </c>
      <c r="V135" s="102">
        <f t="shared" si="44"/>
        <v>133.55501103947637</v>
      </c>
      <c r="W135" s="108">
        <v>668</v>
      </c>
      <c r="X135" s="109">
        <v>657.26961912758543</v>
      </c>
      <c r="Y135" s="110">
        <f t="shared" ref="Y135:Y198" si="51">W135/X135</f>
        <v>1.0163256912538532</v>
      </c>
      <c r="Z135" s="110">
        <f t="shared" si="49"/>
        <v>1.6325691253853192E-2</v>
      </c>
      <c r="AA135" s="111"/>
      <c r="AB135" s="112"/>
      <c r="AC135" s="113"/>
    </row>
    <row r="136" spans="1:29" s="114" customFormat="1" ht="15" customHeight="1" x14ac:dyDescent="0.2">
      <c r="A136" s="98" t="s">
        <v>479</v>
      </c>
      <c r="B136" s="99" t="s">
        <v>837</v>
      </c>
      <c r="C136" s="100">
        <v>942048</v>
      </c>
      <c r="D136" s="101">
        <v>1925</v>
      </c>
      <c r="E136" s="101">
        <v>10</v>
      </c>
      <c r="F136" s="102">
        <f t="shared" si="40"/>
        <v>81.562597402597405</v>
      </c>
      <c r="G136" s="103">
        <v>471732</v>
      </c>
      <c r="H136" s="101">
        <v>1925</v>
      </c>
      <c r="I136" s="101">
        <v>9</v>
      </c>
      <c r="J136" s="102">
        <f t="shared" si="39"/>
        <v>36.758337662337659</v>
      </c>
      <c r="K136" s="101">
        <v>4435000</v>
      </c>
      <c r="L136" s="101">
        <v>846720</v>
      </c>
      <c r="M136" s="101">
        <v>9</v>
      </c>
      <c r="N136" s="102">
        <f t="shared" si="50"/>
        <v>47.140731292517003</v>
      </c>
      <c r="O136" s="102">
        <f t="shared" si="41"/>
        <v>165.46166635745209</v>
      </c>
      <c r="P136" s="102">
        <f t="shared" si="42"/>
        <v>49.96942323995053</v>
      </c>
      <c r="Q136" s="104">
        <f t="shared" si="43"/>
        <v>168.77089968460115</v>
      </c>
      <c r="R136" s="105">
        <f t="shared" si="46"/>
        <v>50.900000000000006</v>
      </c>
      <c r="S136" s="105">
        <v>50.9</v>
      </c>
      <c r="T136" s="106">
        <f t="shared" si="47"/>
        <v>50.9</v>
      </c>
      <c r="U136" s="107">
        <f t="shared" si="48"/>
        <v>482.24272057452072</v>
      </c>
      <c r="V136" s="102">
        <f t="shared" si="44"/>
        <v>120.56068014363018</v>
      </c>
      <c r="W136" s="108">
        <v>603</v>
      </c>
      <c r="X136" s="109">
        <v>590.62561376796225</v>
      </c>
      <c r="Y136" s="110">
        <f t="shared" si="51"/>
        <v>1.0209513199962561</v>
      </c>
      <c r="Z136" s="110">
        <f t="shared" si="49"/>
        <v>2.0951319996256101E-2</v>
      </c>
      <c r="AA136" s="111"/>
      <c r="AB136" s="112"/>
      <c r="AC136" s="113"/>
    </row>
    <row r="137" spans="1:29" s="114" customFormat="1" ht="15" customHeight="1" x14ac:dyDescent="0.2">
      <c r="A137" s="98" t="s">
        <v>480</v>
      </c>
      <c r="B137" s="99" t="s">
        <v>253</v>
      </c>
      <c r="C137" s="100">
        <v>942048</v>
      </c>
      <c r="D137" s="101">
        <v>1925</v>
      </c>
      <c r="E137" s="101">
        <v>20</v>
      </c>
      <c r="F137" s="102">
        <f t="shared" si="40"/>
        <v>163.12519480519481</v>
      </c>
      <c r="G137" s="103">
        <v>471732</v>
      </c>
      <c r="H137" s="101">
        <v>1925</v>
      </c>
      <c r="I137" s="101">
        <v>20</v>
      </c>
      <c r="J137" s="102">
        <f t="shared" si="39"/>
        <v>81.685194805194797</v>
      </c>
      <c r="K137" s="101">
        <v>4435000</v>
      </c>
      <c r="L137" s="101">
        <v>846720</v>
      </c>
      <c r="M137" s="101">
        <v>13</v>
      </c>
      <c r="N137" s="102">
        <f t="shared" si="50"/>
        <v>68.092167422524568</v>
      </c>
      <c r="O137" s="102">
        <f t="shared" si="41"/>
        <v>312.90255703291416</v>
      </c>
      <c r="P137" s="102">
        <f t="shared" si="42"/>
        <v>94.496572223940078</v>
      </c>
      <c r="Q137" s="104">
        <f t="shared" si="43"/>
        <v>319.16060817357243</v>
      </c>
      <c r="R137" s="105">
        <f t="shared" si="46"/>
        <v>50.900000000000006</v>
      </c>
      <c r="S137" s="105">
        <v>50.900000000000006</v>
      </c>
      <c r="T137" s="106">
        <f t="shared" si="47"/>
        <v>50.900000000000006</v>
      </c>
      <c r="U137" s="107">
        <f t="shared" si="48"/>
        <v>845.55190485295122</v>
      </c>
      <c r="V137" s="102">
        <f t="shared" si="44"/>
        <v>211.38797621323781</v>
      </c>
      <c r="W137" s="108">
        <v>1057</v>
      </c>
      <c r="X137" s="109">
        <v>1037.9751136980672</v>
      </c>
      <c r="Y137" s="110">
        <f t="shared" si="51"/>
        <v>1.0183288462804774</v>
      </c>
      <c r="Z137" s="110">
        <f t="shared" si="49"/>
        <v>1.8328846280477373E-2</v>
      </c>
      <c r="AA137" s="111"/>
      <c r="AB137" s="112"/>
      <c r="AC137" s="113"/>
    </row>
    <row r="138" spans="1:29" s="114" customFormat="1" ht="15" customHeight="1" x14ac:dyDescent="0.2">
      <c r="A138" s="98" t="s">
        <v>481</v>
      </c>
      <c r="B138" s="99" t="s">
        <v>257</v>
      </c>
      <c r="C138" s="100">
        <v>942048</v>
      </c>
      <c r="D138" s="101">
        <v>1925</v>
      </c>
      <c r="E138" s="101">
        <v>45</v>
      </c>
      <c r="F138" s="102">
        <f t="shared" si="40"/>
        <v>367.0316883116883</v>
      </c>
      <c r="G138" s="103">
        <v>471732</v>
      </c>
      <c r="H138" s="101">
        <v>1925</v>
      </c>
      <c r="I138" s="101">
        <v>40</v>
      </c>
      <c r="J138" s="102">
        <f t="shared" si="39"/>
        <v>163.37038961038959</v>
      </c>
      <c r="K138" s="101">
        <v>4435000</v>
      </c>
      <c r="L138" s="101">
        <v>846720</v>
      </c>
      <c r="M138" s="101">
        <v>35</v>
      </c>
      <c r="N138" s="102">
        <f t="shared" si="50"/>
        <v>183.32506613756613</v>
      </c>
      <c r="O138" s="102">
        <f t="shared" si="41"/>
        <v>713.72714405964393</v>
      </c>
      <c r="P138" s="102">
        <f t="shared" si="42"/>
        <v>215.54559750601246</v>
      </c>
      <c r="Q138" s="104">
        <f t="shared" si="43"/>
        <v>728.00168694083686</v>
      </c>
      <c r="R138" s="105">
        <f t="shared" si="46"/>
        <v>50.900000000000006</v>
      </c>
      <c r="S138" s="105">
        <v>50.900000000000006</v>
      </c>
      <c r="T138" s="106">
        <f t="shared" si="47"/>
        <v>50.900000000000006</v>
      </c>
      <c r="U138" s="107">
        <f t="shared" si="48"/>
        <v>1891.4994946440595</v>
      </c>
      <c r="V138" s="102">
        <f t="shared" si="44"/>
        <v>472.87487366101487</v>
      </c>
      <c r="W138" s="108">
        <v>2364</v>
      </c>
      <c r="X138" s="109">
        <v>2325.9587689563041</v>
      </c>
      <c r="Y138" s="110">
        <f t="shared" si="51"/>
        <v>1.0163550754000534</v>
      </c>
      <c r="Z138" s="110">
        <f t="shared" si="49"/>
        <v>1.6355075400053432E-2</v>
      </c>
      <c r="AA138" s="111"/>
      <c r="AB138" s="112"/>
      <c r="AC138" s="113"/>
    </row>
    <row r="139" spans="1:29" s="114" customFormat="1" ht="15" customHeight="1" x14ac:dyDescent="0.2">
      <c r="A139" s="98" t="s">
        <v>482</v>
      </c>
      <c r="B139" s="99" t="s">
        <v>255</v>
      </c>
      <c r="C139" s="100">
        <v>942048</v>
      </c>
      <c r="D139" s="101">
        <v>1925</v>
      </c>
      <c r="E139" s="101">
        <v>45</v>
      </c>
      <c r="F139" s="102">
        <f t="shared" si="40"/>
        <v>367.0316883116883</v>
      </c>
      <c r="G139" s="103">
        <v>471732</v>
      </c>
      <c r="H139" s="101">
        <v>1925</v>
      </c>
      <c r="I139" s="101">
        <v>40</v>
      </c>
      <c r="J139" s="102">
        <f>G139/H139/60*I139</f>
        <v>163.37038961038959</v>
      </c>
      <c r="K139" s="101">
        <v>4435000</v>
      </c>
      <c r="L139" s="101">
        <v>846720</v>
      </c>
      <c r="M139" s="101">
        <v>35</v>
      </c>
      <c r="N139" s="102">
        <f t="shared" si="50"/>
        <v>183.32506613756613</v>
      </c>
      <c r="O139" s="102">
        <f t="shared" si="41"/>
        <v>713.72714405964393</v>
      </c>
      <c r="P139" s="102">
        <f t="shared" si="42"/>
        <v>215.54559750601246</v>
      </c>
      <c r="Q139" s="104">
        <f t="shared" si="43"/>
        <v>728.00168694083686</v>
      </c>
      <c r="R139" s="105">
        <f t="shared" si="46"/>
        <v>50.900000000000006</v>
      </c>
      <c r="S139" s="105">
        <v>50.900000000000006</v>
      </c>
      <c r="T139" s="106">
        <f t="shared" si="47"/>
        <v>50.900000000000006</v>
      </c>
      <c r="U139" s="107">
        <f t="shared" si="48"/>
        <v>1891.4994946440595</v>
      </c>
      <c r="V139" s="102">
        <f t="shared" si="44"/>
        <v>472.87487366101487</v>
      </c>
      <c r="W139" s="108">
        <v>2364</v>
      </c>
      <c r="X139" s="109">
        <v>2325.9587689563041</v>
      </c>
      <c r="Y139" s="110">
        <f t="shared" si="51"/>
        <v>1.0163550754000534</v>
      </c>
      <c r="Z139" s="110">
        <f t="shared" si="49"/>
        <v>1.6355075400053432E-2</v>
      </c>
      <c r="AA139" s="111"/>
      <c r="AB139" s="112"/>
      <c r="AC139" s="113"/>
    </row>
    <row r="140" spans="1:29" s="114" customFormat="1" ht="15" customHeight="1" x14ac:dyDescent="0.2">
      <c r="A140" s="98" t="s">
        <v>483</v>
      </c>
      <c r="B140" s="99" t="s">
        <v>254</v>
      </c>
      <c r="C140" s="100">
        <v>942048</v>
      </c>
      <c r="D140" s="101">
        <v>1925</v>
      </c>
      <c r="E140" s="101">
        <v>45</v>
      </c>
      <c r="F140" s="102">
        <f t="shared" si="40"/>
        <v>367.0316883116883</v>
      </c>
      <c r="G140" s="103">
        <v>471732</v>
      </c>
      <c r="H140" s="101">
        <v>1925</v>
      </c>
      <c r="I140" s="101">
        <v>40</v>
      </c>
      <c r="J140" s="102">
        <f>G140/H140/60*I140</f>
        <v>163.37038961038959</v>
      </c>
      <c r="K140" s="101">
        <v>4435000</v>
      </c>
      <c r="L140" s="101">
        <v>846720</v>
      </c>
      <c r="M140" s="101">
        <v>35</v>
      </c>
      <c r="N140" s="102">
        <f t="shared" si="50"/>
        <v>183.32506613756613</v>
      </c>
      <c r="O140" s="102">
        <f t="shared" si="41"/>
        <v>713.72714405964393</v>
      </c>
      <c r="P140" s="102">
        <f t="shared" si="42"/>
        <v>215.54559750601246</v>
      </c>
      <c r="Q140" s="104">
        <f t="shared" si="43"/>
        <v>728.00168694083686</v>
      </c>
      <c r="R140" s="105">
        <f t="shared" si="46"/>
        <v>50.900000000000006</v>
      </c>
      <c r="S140" s="105">
        <v>50.900000000000006</v>
      </c>
      <c r="T140" s="106">
        <f t="shared" si="47"/>
        <v>50.900000000000006</v>
      </c>
      <c r="U140" s="107">
        <f t="shared" si="48"/>
        <v>1891.4994946440595</v>
      </c>
      <c r="V140" s="102">
        <f t="shared" si="44"/>
        <v>472.87487366101487</v>
      </c>
      <c r="W140" s="108">
        <v>2364</v>
      </c>
      <c r="X140" s="109">
        <v>2325.9587689563041</v>
      </c>
      <c r="Y140" s="110">
        <f t="shared" si="51"/>
        <v>1.0163550754000534</v>
      </c>
      <c r="Z140" s="110">
        <f t="shared" si="49"/>
        <v>1.6355075400053432E-2</v>
      </c>
      <c r="AA140" s="111"/>
      <c r="AB140" s="112"/>
      <c r="AC140" s="113"/>
    </row>
    <row r="141" spans="1:29" s="114" customFormat="1" ht="15" customHeight="1" x14ac:dyDescent="0.2">
      <c r="A141" s="98" t="s">
        <v>484</v>
      </c>
      <c r="B141" s="99" t="s">
        <v>256</v>
      </c>
      <c r="C141" s="100">
        <v>942048</v>
      </c>
      <c r="D141" s="101">
        <v>1925</v>
      </c>
      <c r="E141" s="101">
        <v>45</v>
      </c>
      <c r="F141" s="102">
        <f t="shared" si="40"/>
        <v>367.0316883116883</v>
      </c>
      <c r="G141" s="103">
        <v>471732</v>
      </c>
      <c r="H141" s="101">
        <v>1925</v>
      </c>
      <c r="I141" s="101">
        <v>40</v>
      </c>
      <c r="J141" s="102">
        <f>G141/H141/60*I141</f>
        <v>163.37038961038959</v>
      </c>
      <c r="K141" s="101">
        <v>4435000</v>
      </c>
      <c r="L141" s="101">
        <v>846720</v>
      </c>
      <c r="M141" s="101">
        <v>35</v>
      </c>
      <c r="N141" s="102">
        <f t="shared" si="50"/>
        <v>183.32506613756613</v>
      </c>
      <c r="O141" s="102">
        <f t="shared" si="41"/>
        <v>713.72714405964393</v>
      </c>
      <c r="P141" s="102">
        <f t="shared" si="42"/>
        <v>215.54559750601246</v>
      </c>
      <c r="Q141" s="104">
        <f t="shared" si="43"/>
        <v>728.00168694083686</v>
      </c>
      <c r="R141" s="105">
        <f t="shared" si="46"/>
        <v>50.900000000000006</v>
      </c>
      <c r="S141" s="105">
        <v>50.900000000000006</v>
      </c>
      <c r="T141" s="106">
        <f t="shared" si="47"/>
        <v>50.900000000000006</v>
      </c>
      <c r="U141" s="107">
        <f t="shared" si="48"/>
        <v>1891.4994946440595</v>
      </c>
      <c r="V141" s="102">
        <f t="shared" si="44"/>
        <v>472.87487366101487</v>
      </c>
      <c r="W141" s="108">
        <v>2364</v>
      </c>
      <c r="X141" s="109">
        <v>2325.9587689563041</v>
      </c>
      <c r="Y141" s="110">
        <f t="shared" si="51"/>
        <v>1.0163550754000534</v>
      </c>
      <c r="Z141" s="110">
        <f t="shared" si="49"/>
        <v>1.6355075400053432E-2</v>
      </c>
      <c r="AA141" s="111"/>
      <c r="AB141" s="112"/>
      <c r="AC141" s="113"/>
    </row>
    <row r="142" spans="1:29" s="114" customFormat="1" ht="15" customHeight="1" x14ac:dyDescent="0.2">
      <c r="A142" s="98" t="s">
        <v>485</v>
      </c>
      <c r="B142" s="99" t="s">
        <v>258</v>
      </c>
      <c r="C142" s="100">
        <v>942048</v>
      </c>
      <c r="D142" s="101">
        <v>1925</v>
      </c>
      <c r="E142" s="101">
        <v>25</v>
      </c>
      <c r="F142" s="102">
        <f t="shared" si="40"/>
        <v>203.90649350649349</v>
      </c>
      <c r="G142" s="103">
        <v>471732</v>
      </c>
      <c r="H142" s="101">
        <v>1925</v>
      </c>
      <c r="I142" s="101">
        <v>20</v>
      </c>
      <c r="J142" s="102">
        <f t="shared" si="39"/>
        <v>81.685194805194797</v>
      </c>
      <c r="K142" s="101">
        <v>4435000</v>
      </c>
      <c r="L142" s="101">
        <v>846720</v>
      </c>
      <c r="M142" s="101">
        <v>14</v>
      </c>
      <c r="N142" s="102">
        <f t="shared" si="50"/>
        <v>73.330026455026456</v>
      </c>
      <c r="O142" s="102">
        <f t="shared" si="41"/>
        <v>358.92171476671479</v>
      </c>
      <c r="P142" s="102">
        <f t="shared" si="42"/>
        <v>108.39435785954787</v>
      </c>
      <c r="Q142" s="104">
        <f t="shared" si="43"/>
        <v>366.10014906204907</v>
      </c>
      <c r="R142" s="105">
        <f t="shared" si="46"/>
        <v>50.900000000000006</v>
      </c>
      <c r="S142" s="105">
        <v>50.900000000000006</v>
      </c>
      <c r="T142" s="106">
        <f t="shared" si="47"/>
        <v>50.900000000000006</v>
      </c>
      <c r="U142" s="107">
        <f t="shared" si="48"/>
        <v>957.64624814333808</v>
      </c>
      <c r="V142" s="102">
        <f t="shared" si="44"/>
        <v>239.41156203583452</v>
      </c>
      <c r="W142" s="108">
        <v>1197</v>
      </c>
      <c r="X142" s="109">
        <v>1158.770451077366</v>
      </c>
      <c r="Y142" s="110">
        <f t="shared" si="51"/>
        <v>1.0329914772050754</v>
      </c>
      <c r="Z142" s="110">
        <f t="shared" si="49"/>
        <v>3.2991477205075448E-2</v>
      </c>
      <c r="AA142" s="111"/>
      <c r="AB142" s="112"/>
      <c r="AC142" s="113"/>
    </row>
    <row r="143" spans="1:29" s="114" customFormat="1" ht="15" customHeight="1" x14ac:dyDescent="0.2">
      <c r="A143" s="98" t="s">
        <v>486</v>
      </c>
      <c r="B143" s="99" t="s">
        <v>259</v>
      </c>
      <c r="C143" s="100">
        <v>942048</v>
      </c>
      <c r="D143" s="101">
        <v>1925</v>
      </c>
      <c r="E143" s="101">
        <v>35</v>
      </c>
      <c r="F143" s="102">
        <f t="shared" si="40"/>
        <v>285.46909090909088</v>
      </c>
      <c r="G143" s="103">
        <v>471732</v>
      </c>
      <c r="H143" s="101">
        <v>1925</v>
      </c>
      <c r="I143" s="101">
        <v>30</v>
      </c>
      <c r="J143" s="102">
        <f t="shared" si="39"/>
        <v>122.5277922077922</v>
      </c>
      <c r="K143" s="101">
        <v>4435000</v>
      </c>
      <c r="L143" s="101">
        <v>846720</v>
      </c>
      <c r="M143" s="101">
        <v>35</v>
      </c>
      <c r="N143" s="102">
        <f t="shared" si="50"/>
        <v>183.32506613756613</v>
      </c>
      <c r="O143" s="102">
        <f t="shared" si="41"/>
        <v>591.32194925444924</v>
      </c>
      <c r="P143" s="102">
        <f t="shared" si="42"/>
        <v>178.57922867484368</v>
      </c>
      <c r="Q143" s="104">
        <f t="shared" si="43"/>
        <v>603.14838823953824</v>
      </c>
      <c r="R143" s="105">
        <f t="shared" si="46"/>
        <v>50.900000000000006</v>
      </c>
      <c r="S143" s="105">
        <v>50.900000000000006</v>
      </c>
      <c r="T143" s="106">
        <f t="shared" si="47"/>
        <v>50.900000000000006</v>
      </c>
      <c r="U143" s="107">
        <f t="shared" si="48"/>
        <v>1607.2746323063975</v>
      </c>
      <c r="V143" s="102">
        <f t="shared" si="44"/>
        <v>401.81865807659938</v>
      </c>
      <c r="W143" s="108">
        <v>2009</v>
      </c>
      <c r="X143" s="109">
        <v>1927.2153995340307</v>
      </c>
      <c r="Y143" s="110">
        <f t="shared" si="51"/>
        <v>1.0424366682031201</v>
      </c>
      <c r="Z143" s="110">
        <f t="shared" si="49"/>
        <v>4.2436668203120087E-2</v>
      </c>
      <c r="AA143" s="111"/>
      <c r="AB143" s="112"/>
      <c r="AC143" s="113"/>
    </row>
    <row r="144" spans="1:29" s="114" customFormat="1" ht="15" customHeight="1" x14ac:dyDescent="0.2">
      <c r="A144" s="98" t="s">
        <v>487</v>
      </c>
      <c r="B144" s="99" t="s">
        <v>300</v>
      </c>
      <c r="C144" s="100">
        <v>942048</v>
      </c>
      <c r="D144" s="101">
        <v>1925</v>
      </c>
      <c r="E144" s="101">
        <v>15</v>
      </c>
      <c r="F144" s="102">
        <f t="shared" si="40"/>
        <v>122.3438961038961</v>
      </c>
      <c r="G144" s="103">
        <v>471732</v>
      </c>
      <c r="H144" s="101">
        <v>1925</v>
      </c>
      <c r="I144" s="101">
        <v>10</v>
      </c>
      <c r="J144" s="102">
        <f t="shared" si="39"/>
        <v>40.842597402597399</v>
      </c>
      <c r="K144" s="101">
        <v>4435000</v>
      </c>
      <c r="L144" s="101">
        <v>846720</v>
      </c>
      <c r="M144" s="101">
        <v>7</v>
      </c>
      <c r="N144" s="102">
        <f t="shared" si="50"/>
        <v>36.665013227513228</v>
      </c>
      <c r="O144" s="102">
        <f t="shared" si="41"/>
        <v>199.8515067340067</v>
      </c>
      <c r="P144" s="102">
        <f>O144*0.302</f>
        <v>60.355155033670023</v>
      </c>
      <c r="Q144" s="104">
        <f t="shared" si="43"/>
        <v>203.84853686868684</v>
      </c>
      <c r="R144" s="105">
        <f t="shared" si="46"/>
        <v>50.900000000000006</v>
      </c>
      <c r="S144" s="105">
        <v>50.900000000000006</v>
      </c>
      <c r="T144" s="106">
        <f t="shared" si="47"/>
        <v>50.900000000000006</v>
      </c>
      <c r="U144" s="107">
        <f t="shared" si="48"/>
        <v>551.62021186387676</v>
      </c>
      <c r="V144" s="102">
        <f t="shared" si="44"/>
        <v>137.90505296596919</v>
      </c>
      <c r="W144" s="108">
        <v>690</v>
      </c>
      <c r="X144" s="109">
        <v>667.60168689649481</v>
      </c>
      <c r="Y144" s="110">
        <f t="shared" si="51"/>
        <v>1.0335504141812899</v>
      </c>
      <c r="Z144" s="110">
        <f t="shared" si="49"/>
        <v>3.35504141812899E-2</v>
      </c>
      <c r="AA144" s="111"/>
      <c r="AB144" s="112"/>
      <c r="AC144" s="113"/>
    </row>
    <row r="145" spans="1:29" s="114" customFormat="1" ht="15" customHeight="1" x14ac:dyDescent="0.2">
      <c r="A145" s="98" t="s">
        <v>488</v>
      </c>
      <c r="B145" s="99" t="s">
        <v>301</v>
      </c>
      <c r="C145" s="100">
        <v>942048</v>
      </c>
      <c r="D145" s="101">
        <v>1925</v>
      </c>
      <c r="E145" s="101">
        <v>15</v>
      </c>
      <c r="F145" s="102">
        <f t="shared" si="40"/>
        <v>122.3438961038961</v>
      </c>
      <c r="G145" s="103">
        <v>471732</v>
      </c>
      <c r="H145" s="101">
        <v>1925</v>
      </c>
      <c r="I145" s="101">
        <v>10</v>
      </c>
      <c r="J145" s="102">
        <f>G145/H145/60*I145</f>
        <v>40.842597402597399</v>
      </c>
      <c r="K145" s="101">
        <v>4435000</v>
      </c>
      <c r="L145" s="101">
        <v>846720</v>
      </c>
      <c r="M145" s="101">
        <v>7</v>
      </c>
      <c r="N145" s="102">
        <f t="shared" si="50"/>
        <v>36.665013227513228</v>
      </c>
      <c r="O145" s="102">
        <f t="shared" si="41"/>
        <v>199.8515067340067</v>
      </c>
      <c r="P145" s="102">
        <f>O145*0.302</f>
        <v>60.355155033670023</v>
      </c>
      <c r="Q145" s="104">
        <f t="shared" si="43"/>
        <v>203.84853686868684</v>
      </c>
      <c r="R145" s="105">
        <f t="shared" si="46"/>
        <v>50.900000000000006</v>
      </c>
      <c r="S145" s="105">
        <v>50.900000000000006</v>
      </c>
      <c r="T145" s="106">
        <f t="shared" si="47"/>
        <v>50.900000000000006</v>
      </c>
      <c r="U145" s="107">
        <f t="shared" si="48"/>
        <v>551.62021186387676</v>
      </c>
      <c r="V145" s="102">
        <f t="shared" si="44"/>
        <v>137.90505296596919</v>
      </c>
      <c r="W145" s="108">
        <v>690</v>
      </c>
      <c r="X145" s="109">
        <v>667.60168689649481</v>
      </c>
      <c r="Y145" s="110">
        <f t="shared" si="51"/>
        <v>1.0335504141812899</v>
      </c>
      <c r="Z145" s="110">
        <f t="shared" si="49"/>
        <v>3.35504141812899E-2</v>
      </c>
      <c r="AA145" s="111"/>
      <c r="AB145" s="112"/>
      <c r="AC145" s="113"/>
    </row>
    <row r="146" spans="1:29" s="114" customFormat="1" ht="15" customHeight="1" x14ac:dyDescent="0.2">
      <c r="A146" s="98" t="s">
        <v>489</v>
      </c>
      <c r="B146" s="99" t="s">
        <v>92</v>
      </c>
      <c r="C146" s="100">
        <v>942048</v>
      </c>
      <c r="D146" s="101">
        <v>1925</v>
      </c>
      <c r="E146" s="101">
        <v>9</v>
      </c>
      <c r="F146" s="102">
        <f t="shared" si="40"/>
        <v>73.406337662337663</v>
      </c>
      <c r="G146" s="103">
        <v>471732</v>
      </c>
      <c r="H146" s="101">
        <v>1925</v>
      </c>
      <c r="I146" s="100">
        <v>6</v>
      </c>
      <c r="J146" s="102">
        <f t="shared" si="39"/>
        <v>24.505558441558442</v>
      </c>
      <c r="K146" s="101">
        <v>4435000</v>
      </c>
      <c r="L146" s="101">
        <v>846720</v>
      </c>
      <c r="M146" s="101">
        <v>8</v>
      </c>
      <c r="N146" s="102">
        <f t="shared" si="50"/>
        <v>41.902872260015116</v>
      </c>
      <c r="O146" s="102">
        <f t="shared" si="41"/>
        <v>139.81476836391124</v>
      </c>
      <c r="P146" s="102">
        <f t="shared" si="42"/>
        <v>42.22406004590119</v>
      </c>
      <c r="Q146" s="104">
        <f t="shared" si="43"/>
        <v>142.61106373118946</v>
      </c>
      <c r="R146" s="105">
        <f t="shared" si="46"/>
        <v>50.900000000000006</v>
      </c>
      <c r="S146" s="105">
        <v>50.900000000000006</v>
      </c>
      <c r="T146" s="106">
        <f t="shared" si="47"/>
        <v>50.900000000000006</v>
      </c>
      <c r="U146" s="107">
        <f t="shared" si="48"/>
        <v>417.45276440101702</v>
      </c>
      <c r="V146" s="102">
        <f t="shared" si="44"/>
        <v>104.36319110025426</v>
      </c>
      <c r="W146" s="108">
        <v>522</v>
      </c>
      <c r="X146" s="109">
        <v>518.43640689649476</v>
      </c>
      <c r="Y146" s="110">
        <f t="shared" si="51"/>
        <v>1.0068737323538637</v>
      </c>
      <c r="Z146" s="110">
        <f t="shared" si="49"/>
        <v>6.8737323538636819E-3</v>
      </c>
      <c r="AA146" s="111"/>
      <c r="AB146" s="112"/>
      <c r="AC146" s="113"/>
    </row>
    <row r="147" spans="1:29" ht="15" customHeight="1" x14ac:dyDescent="0.2">
      <c r="A147" s="36" t="s">
        <v>490</v>
      </c>
      <c r="B147" s="27" t="s">
        <v>121</v>
      </c>
      <c r="C147" s="21">
        <v>942048</v>
      </c>
      <c r="D147" s="7">
        <v>1925</v>
      </c>
      <c r="E147" s="7">
        <v>11</v>
      </c>
      <c r="F147" s="8">
        <f t="shared" ref="F147:F166" si="52">C147/D147/60*E147</f>
        <v>89.718857142857146</v>
      </c>
      <c r="G147" s="33">
        <v>471732</v>
      </c>
      <c r="H147" s="22">
        <v>1925</v>
      </c>
      <c r="I147" s="7">
        <v>5</v>
      </c>
      <c r="J147" s="8">
        <f t="shared" ref="J147:J163" si="53">G147/H147/60*I147</f>
        <v>20.421298701298699</v>
      </c>
      <c r="K147" s="7">
        <v>111570.32</v>
      </c>
      <c r="L147" s="7">
        <v>846720</v>
      </c>
      <c r="M147" s="7">
        <v>15</v>
      </c>
      <c r="N147" s="75">
        <f t="shared" ref="N147:N172" si="54">K147/L147*M147</f>
        <v>1.9765150226757373</v>
      </c>
      <c r="O147" s="75">
        <f>F147+J147</f>
        <v>110.14015584415584</v>
      </c>
      <c r="P147" s="75">
        <f>O147*0.302</f>
        <v>33.262327064935064</v>
      </c>
      <c r="Q147" s="68">
        <f>(O147)*102%</f>
        <v>112.34295896103896</v>
      </c>
      <c r="R147" s="55">
        <f>1.54*2+3.16+17.02</f>
        <v>23.259999999999998</v>
      </c>
      <c r="S147" s="55">
        <v>23.259999999999998</v>
      </c>
      <c r="T147" s="78">
        <f t="shared" si="47"/>
        <v>23.259999999999998</v>
      </c>
      <c r="U147" s="9">
        <f t="shared" si="48"/>
        <v>280.98195689280561</v>
      </c>
      <c r="V147" s="75">
        <f t="shared" ref="V147:V163" si="55">U147*25%</f>
        <v>70.245489223201403</v>
      </c>
      <c r="W147" s="42">
        <v>351</v>
      </c>
      <c r="X147" s="71">
        <v>350.63789936276021</v>
      </c>
      <c r="Y147" s="60">
        <f t="shared" si="51"/>
        <v>1.0010326910978473</v>
      </c>
      <c r="Z147" s="60">
        <f t="shared" si="49"/>
        <v>1.0326910978473158E-3</v>
      </c>
      <c r="AA147" s="14"/>
    </row>
    <row r="148" spans="1:29" ht="15" customHeight="1" x14ac:dyDescent="0.2">
      <c r="A148" s="36" t="s">
        <v>491</v>
      </c>
      <c r="B148" s="27" t="s">
        <v>888</v>
      </c>
      <c r="C148" s="21">
        <v>942048</v>
      </c>
      <c r="D148" s="7">
        <v>1925</v>
      </c>
      <c r="E148" s="7">
        <v>10</v>
      </c>
      <c r="F148" s="8">
        <f t="shared" si="52"/>
        <v>81.562597402597405</v>
      </c>
      <c r="G148" s="33">
        <v>471732</v>
      </c>
      <c r="H148" s="22">
        <v>1925</v>
      </c>
      <c r="I148" s="7">
        <v>10</v>
      </c>
      <c r="J148" s="8">
        <f t="shared" si="53"/>
        <v>40.842597402597399</v>
      </c>
      <c r="K148" s="7">
        <v>49500</v>
      </c>
      <c r="L148" s="7">
        <v>846720</v>
      </c>
      <c r="M148" s="7">
        <v>20</v>
      </c>
      <c r="N148" s="75">
        <f>K148/L148*M148</f>
        <v>1.1692176870748301</v>
      </c>
      <c r="O148" s="75">
        <f t="shared" ref="O148:O165" si="56">F148+J148+N148</f>
        <v>123.57441249226964</v>
      </c>
      <c r="P148" s="75">
        <f t="shared" ref="P148:P165" si="57">O148*0.302</f>
        <v>37.319472572665433</v>
      </c>
      <c r="Q148" s="68">
        <f t="shared" ref="Q148:Q166" si="58">(O148)*102%</f>
        <v>126.04590074211504</v>
      </c>
      <c r="R148" s="55">
        <v>33.409999999999997</v>
      </c>
      <c r="S148" s="55">
        <v>33.409999999999997</v>
      </c>
      <c r="T148" s="78">
        <f t="shared" si="47"/>
        <v>33.409999999999997</v>
      </c>
      <c r="U148" s="9">
        <f t="shared" si="48"/>
        <v>321.51900349412495</v>
      </c>
      <c r="V148" s="75">
        <f t="shared" si="55"/>
        <v>80.379750873531236</v>
      </c>
      <c r="W148" s="42">
        <v>402</v>
      </c>
      <c r="X148" s="71">
        <v>624.09918943259117</v>
      </c>
      <c r="Y148" s="60">
        <f t="shared" si="51"/>
        <v>0.64412838024270491</v>
      </c>
      <c r="Z148" s="60">
        <f t="shared" si="49"/>
        <v>-0.35587161975729509</v>
      </c>
      <c r="AA148" s="14"/>
    </row>
    <row r="149" spans="1:29" ht="15" customHeight="1" x14ac:dyDescent="0.2">
      <c r="A149" s="36" t="s">
        <v>492</v>
      </c>
      <c r="B149" s="27" t="s">
        <v>115</v>
      </c>
      <c r="C149" s="21">
        <v>942048</v>
      </c>
      <c r="D149" s="7">
        <v>1925</v>
      </c>
      <c r="E149" s="7">
        <v>13</v>
      </c>
      <c r="F149" s="8">
        <f t="shared" si="52"/>
        <v>106.03137662337662</v>
      </c>
      <c r="G149" s="33">
        <v>471732</v>
      </c>
      <c r="H149" s="22">
        <v>1925</v>
      </c>
      <c r="I149" s="7">
        <v>12</v>
      </c>
      <c r="J149" s="8">
        <f t="shared" si="53"/>
        <v>49.011116883116884</v>
      </c>
      <c r="K149" s="7">
        <v>127972.52</v>
      </c>
      <c r="L149" s="7">
        <v>846720</v>
      </c>
      <c r="M149" s="7">
        <v>15</v>
      </c>
      <c r="N149" s="75">
        <f t="shared" si="54"/>
        <v>2.2670868764172338</v>
      </c>
      <c r="O149" s="75">
        <f t="shared" si="56"/>
        <v>157.30958038291072</v>
      </c>
      <c r="P149" s="75">
        <f t="shared" si="57"/>
        <v>47.507493275639035</v>
      </c>
      <c r="Q149" s="68">
        <f t="shared" si="58"/>
        <v>160.45577199056893</v>
      </c>
      <c r="R149" s="55">
        <f>11+3.16+17.02</f>
        <v>31.18</v>
      </c>
      <c r="S149" s="55">
        <v>31.18</v>
      </c>
      <c r="T149" s="78">
        <f t="shared" si="47"/>
        <v>31.18</v>
      </c>
      <c r="U149" s="9">
        <f t="shared" si="48"/>
        <v>398.71993252553597</v>
      </c>
      <c r="V149" s="75">
        <f t="shared" si="55"/>
        <v>99.679983131383992</v>
      </c>
      <c r="W149" s="42">
        <v>498</v>
      </c>
      <c r="X149" s="71">
        <v>477.94460344912784</v>
      </c>
      <c r="Y149" s="60">
        <f t="shared" si="51"/>
        <v>1.0419617595975363</v>
      </c>
      <c r="Z149" s="60">
        <f t="shared" si="49"/>
        <v>4.1961759597536341E-2</v>
      </c>
      <c r="AA149" s="14"/>
    </row>
    <row r="150" spans="1:29" ht="15" customHeight="1" x14ac:dyDescent="0.2">
      <c r="A150" s="36" t="s">
        <v>493</v>
      </c>
      <c r="B150" s="27" t="s">
        <v>122</v>
      </c>
      <c r="C150" s="21">
        <v>942048</v>
      </c>
      <c r="D150" s="7">
        <v>1925</v>
      </c>
      <c r="E150" s="7">
        <v>11</v>
      </c>
      <c r="F150" s="8">
        <f t="shared" si="52"/>
        <v>89.718857142857146</v>
      </c>
      <c r="G150" s="33">
        <v>471732</v>
      </c>
      <c r="H150" s="22">
        <v>1925</v>
      </c>
      <c r="I150" s="7">
        <v>15</v>
      </c>
      <c r="J150" s="8">
        <f>G150/H150/60*I150</f>
        <v>61.263896103896101</v>
      </c>
      <c r="K150" s="7">
        <v>130634.74</v>
      </c>
      <c r="L150" s="7">
        <v>846720</v>
      </c>
      <c r="M150" s="7">
        <v>20</v>
      </c>
      <c r="N150" s="75">
        <f>K150/L150*M150</f>
        <v>3.0856656273620557</v>
      </c>
      <c r="O150" s="75">
        <f t="shared" si="56"/>
        <v>154.06841887411531</v>
      </c>
      <c r="P150" s="75">
        <f>O150*0.302</f>
        <v>46.528662499982822</v>
      </c>
      <c r="Q150" s="68">
        <f t="shared" si="58"/>
        <v>157.14978725159762</v>
      </c>
      <c r="R150" s="55">
        <f>1.54*2+3.16+17.02</f>
        <v>23.259999999999998</v>
      </c>
      <c r="S150" s="55">
        <v>23.259999999999998</v>
      </c>
      <c r="T150" s="78">
        <f t="shared" si="47"/>
        <v>23.259999999999998</v>
      </c>
      <c r="U150" s="9">
        <f t="shared" si="48"/>
        <v>384.09253425305781</v>
      </c>
      <c r="V150" s="75">
        <f>U150*25%</f>
        <v>96.023133563264452</v>
      </c>
      <c r="W150" s="42">
        <v>480</v>
      </c>
      <c r="X150" s="71">
        <v>466.70566547865985</v>
      </c>
      <c r="Y150" s="60">
        <f t="shared" si="51"/>
        <v>1.0284854791889131</v>
      </c>
      <c r="Z150" s="60">
        <f t="shared" si="49"/>
        <v>2.8485479188913088E-2</v>
      </c>
      <c r="AA150" s="14"/>
    </row>
    <row r="151" spans="1:29" ht="15" customHeight="1" x14ac:dyDescent="0.2">
      <c r="A151" s="36" t="s">
        <v>494</v>
      </c>
      <c r="B151" s="73" t="s">
        <v>890</v>
      </c>
      <c r="C151" s="21">
        <v>942048</v>
      </c>
      <c r="D151" s="7">
        <v>1925</v>
      </c>
      <c r="E151" s="7">
        <v>18</v>
      </c>
      <c r="F151" s="8">
        <f t="shared" si="52"/>
        <v>146.81267532467533</v>
      </c>
      <c r="G151" s="33">
        <v>471732</v>
      </c>
      <c r="H151" s="22">
        <v>1925</v>
      </c>
      <c r="I151" s="7">
        <v>20</v>
      </c>
      <c r="J151" s="8">
        <f t="shared" si="53"/>
        <v>81.685194805194797</v>
      </c>
      <c r="K151" s="7">
        <v>89500</v>
      </c>
      <c r="L151" s="7">
        <v>846720</v>
      </c>
      <c r="M151" s="7">
        <v>30</v>
      </c>
      <c r="N151" s="75">
        <f t="shared" si="54"/>
        <v>3.1710600907029476</v>
      </c>
      <c r="O151" s="75">
        <f t="shared" si="56"/>
        <v>231.66893022057309</v>
      </c>
      <c r="P151" s="75">
        <f t="shared" si="57"/>
        <v>69.96401692661307</v>
      </c>
      <c r="Q151" s="68">
        <f t="shared" si="58"/>
        <v>236.30230882498455</v>
      </c>
      <c r="R151" s="55">
        <f>1.54*4+3.16+17.02</f>
        <v>26.34</v>
      </c>
      <c r="S151" s="55">
        <v>26.34</v>
      </c>
      <c r="T151" s="78">
        <f t="shared" si="47"/>
        <v>26.34</v>
      </c>
      <c r="U151" s="9">
        <f t="shared" si="48"/>
        <v>567.44631606287373</v>
      </c>
      <c r="V151" s="75">
        <f>U151*25%</f>
        <v>141.86157901571843</v>
      </c>
      <c r="W151" s="42">
        <v>709</v>
      </c>
      <c r="X151" s="71">
        <v>684.27733819547507</v>
      </c>
      <c r="Y151" s="60">
        <f t="shared" si="51"/>
        <v>1.0361295931116492</v>
      </c>
      <c r="Z151" s="60">
        <f t="shared" si="49"/>
        <v>3.6129593111649205E-2</v>
      </c>
      <c r="AA151" s="14"/>
    </row>
    <row r="152" spans="1:29" ht="15" customHeight="1" x14ac:dyDescent="0.2">
      <c r="A152" s="36" t="s">
        <v>495</v>
      </c>
      <c r="B152" s="73" t="s">
        <v>891</v>
      </c>
      <c r="C152" s="21">
        <v>942048</v>
      </c>
      <c r="D152" s="7">
        <v>1925</v>
      </c>
      <c r="E152" s="7">
        <v>29</v>
      </c>
      <c r="F152" s="8">
        <f t="shared" si="52"/>
        <v>236.53153246753246</v>
      </c>
      <c r="G152" s="33">
        <v>471732</v>
      </c>
      <c r="H152" s="22">
        <v>1925</v>
      </c>
      <c r="I152" s="7">
        <v>25</v>
      </c>
      <c r="J152" s="8">
        <f>G152/H152/60*I152</f>
        <v>102.10649350649351</v>
      </c>
      <c r="K152" s="7">
        <v>89500</v>
      </c>
      <c r="L152" s="7">
        <v>846720</v>
      </c>
      <c r="M152" s="7">
        <v>40</v>
      </c>
      <c r="N152" s="75">
        <f>K152/L152*M152</f>
        <v>4.228080120937264</v>
      </c>
      <c r="O152" s="75">
        <f t="shared" si="56"/>
        <v>342.86610609496319</v>
      </c>
      <c r="P152" s="75">
        <f>O152*0.302</f>
        <v>103.54556404067888</v>
      </c>
      <c r="Q152" s="68">
        <f t="shared" si="58"/>
        <v>349.72342821686243</v>
      </c>
      <c r="R152" s="55">
        <f>1.54*4+3.16+17.02</f>
        <v>26.34</v>
      </c>
      <c r="S152" s="55">
        <v>26.34</v>
      </c>
      <c r="T152" s="78">
        <f t="shared" si="47"/>
        <v>26.34</v>
      </c>
      <c r="U152" s="9">
        <f t="shared" si="48"/>
        <v>826.70317847344177</v>
      </c>
      <c r="V152" s="75">
        <f>U152*25%</f>
        <v>206.67579461836044</v>
      </c>
      <c r="W152" s="42">
        <v>1033</v>
      </c>
      <c r="X152" s="71">
        <v>1007.7588694554388</v>
      </c>
      <c r="Y152" s="60">
        <f t="shared" si="51"/>
        <v>1.0250467957262441</v>
      </c>
      <c r="Z152" s="60">
        <f t="shared" si="49"/>
        <v>2.5046795726244131E-2</v>
      </c>
      <c r="AA152" s="14"/>
    </row>
    <row r="153" spans="1:29" ht="15" customHeight="1" x14ac:dyDescent="0.2">
      <c r="A153" s="36" t="s">
        <v>496</v>
      </c>
      <c r="B153" s="27" t="s">
        <v>333</v>
      </c>
      <c r="C153" s="21">
        <v>942048</v>
      </c>
      <c r="D153" s="7">
        <v>1925</v>
      </c>
      <c r="E153" s="7">
        <v>18</v>
      </c>
      <c r="F153" s="8">
        <f t="shared" si="52"/>
        <v>146.81267532467533</v>
      </c>
      <c r="G153" s="33">
        <v>471732</v>
      </c>
      <c r="H153" s="22">
        <v>1925</v>
      </c>
      <c r="I153" s="7">
        <v>23</v>
      </c>
      <c r="J153" s="8">
        <f>G153/H153/60*I153</f>
        <v>93.937974025974015</v>
      </c>
      <c r="K153" s="7">
        <v>23581.119999999999</v>
      </c>
      <c r="L153" s="7">
        <v>846720</v>
      </c>
      <c r="M153" s="7">
        <v>25</v>
      </c>
      <c r="N153" s="75">
        <f>K153/L153*M153</f>
        <v>0.69624905517762659</v>
      </c>
      <c r="O153" s="75">
        <f>F153+J153+N153</f>
        <v>241.44689840582694</v>
      </c>
      <c r="P153" s="75">
        <f>O153*0.302</f>
        <v>72.916963318559738</v>
      </c>
      <c r="Q153" s="68">
        <f t="shared" si="58"/>
        <v>246.27583637394349</v>
      </c>
      <c r="R153" s="55">
        <f>1.54*2+3.16+17.02+1.99*2+12*4</f>
        <v>75.239999999999995</v>
      </c>
      <c r="S153" s="55">
        <v>75.239999999999995</v>
      </c>
      <c r="T153" s="78">
        <f t="shared" si="47"/>
        <v>75.239999999999995</v>
      </c>
      <c r="U153" s="9">
        <f t="shared" si="48"/>
        <v>636.57594715350774</v>
      </c>
      <c r="V153" s="75">
        <f>U153*25%</f>
        <v>159.14398678837694</v>
      </c>
      <c r="W153" s="42">
        <v>796</v>
      </c>
      <c r="X153" s="71">
        <v>784.20854355227448</v>
      </c>
      <c r="Y153" s="60">
        <f t="shared" si="51"/>
        <v>1.0150361234198153</v>
      </c>
      <c r="Z153" s="60">
        <f t="shared" si="49"/>
        <v>1.5036123419815306E-2</v>
      </c>
      <c r="AA153" s="14"/>
    </row>
    <row r="154" spans="1:29" ht="15" customHeight="1" x14ac:dyDescent="0.2">
      <c r="A154" s="36" t="s">
        <v>497</v>
      </c>
      <c r="B154" s="27" t="s">
        <v>334</v>
      </c>
      <c r="C154" s="21">
        <v>942048</v>
      </c>
      <c r="D154" s="7">
        <v>1925</v>
      </c>
      <c r="E154" s="7">
        <v>30</v>
      </c>
      <c r="F154" s="8">
        <f t="shared" si="52"/>
        <v>244.6877922077922</v>
      </c>
      <c r="G154" s="33">
        <v>471732</v>
      </c>
      <c r="H154" s="22">
        <v>1925</v>
      </c>
      <c r="I154" s="7">
        <v>20</v>
      </c>
      <c r="J154" s="8">
        <f>G154/H154/60*I154</f>
        <v>81.685194805194797</v>
      </c>
      <c r="K154" s="7">
        <v>23581.119999999999</v>
      </c>
      <c r="L154" s="7">
        <v>846720</v>
      </c>
      <c r="M154" s="7">
        <v>35</v>
      </c>
      <c r="N154" s="75">
        <f>K154/L154*M154</f>
        <v>0.97474867724867731</v>
      </c>
      <c r="O154" s="75">
        <f>F154+J154+N154</f>
        <v>327.34773569023565</v>
      </c>
      <c r="P154" s="75">
        <f>O154*0.302</f>
        <v>98.859016178451171</v>
      </c>
      <c r="Q154" s="68">
        <f t="shared" si="58"/>
        <v>333.89469040404038</v>
      </c>
      <c r="R154" s="55">
        <f>1.54*2+3.16+17.02+1.99*2+12*8</f>
        <v>123.24</v>
      </c>
      <c r="S154" s="55">
        <v>123.24</v>
      </c>
      <c r="T154" s="78">
        <f t="shared" si="47"/>
        <v>123.24</v>
      </c>
      <c r="U154" s="9">
        <f t="shared" si="48"/>
        <v>884.31619094997586</v>
      </c>
      <c r="V154" s="75">
        <f>U154*25%</f>
        <v>221.07904773749397</v>
      </c>
      <c r="W154" s="42">
        <v>1105</v>
      </c>
      <c r="X154" s="71">
        <v>1079.4937810251324</v>
      </c>
      <c r="Y154" s="60">
        <f t="shared" si="51"/>
        <v>1.0236279443413243</v>
      </c>
      <c r="Z154" s="60">
        <f t="shared" si="49"/>
        <v>2.3627944341324314E-2</v>
      </c>
      <c r="AA154" s="14"/>
    </row>
    <row r="155" spans="1:29" ht="15" customHeight="1" x14ac:dyDescent="0.2">
      <c r="A155" s="36" t="s">
        <v>498</v>
      </c>
      <c r="B155" s="27" t="s">
        <v>123</v>
      </c>
      <c r="C155" s="21">
        <v>942048</v>
      </c>
      <c r="D155" s="7">
        <v>1925</v>
      </c>
      <c r="E155" s="7">
        <v>14</v>
      </c>
      <c r="F155" s="8">
        <f t="shared" si="52"/>
        <v>114.18763636363636</v>
      </c>
      <c r="G155" s="33">
        <v>471732</v>
      </c>
      <c r="H155" s="22">
        <v>1925</v>
      </c>
      <c r="I155" s="7">
        <v>14</v>
      </c>
      <c r="J155" s="8">
        <f t="shared" si="53"/>
        <v>57.179636363636362</v>
      </c>
      <c r="K155" s="7">
        <v>441000</v>
      </c>
      <c r="L155" s="7">
        <v>846720</v>
      </c>
      <c r="M155" s="7">
        <v>15</v>
      </c>
      <c r="N155" s="75">
        <f t="shared" si="54"/>
        <v>7.8125000000000009</v>
      </c>
      <c r="O155" s="75">
        <f t="shared" si="56"/>
        <v>179.17977272727273</v>
      </c>
      <c r="P155" s="75">
        <f t="shared" si="57"/>
        <v>54.112291363636366</v>
      </c>
      <c r="Q155" s="68">
        <f t="shared" si="58"/>
        <v>182.76336818181818</v>
      </c>
      <c r="R155" s="55">
        <f>1.54*2+3.16+1.99*5</f>
        <v>16.189999999999998</v>
      </c>
      <c r="S155" s="55">
        <v>16.189999999999998</v>
      </c>
      <c r="T155" s="78">
        <f t="shared" si="47"/>
        <v>16.189999999999998</v>
      </c>
      <c r="U155" s="9">
        <f t="shared" si="48"/>
        <v>440.05793227272727</v>
      </c>
      <c r="V155" s="75">
        <f t="shared" si="55"/>
        <v>110.01448306818182</v>
      </c>
      <c r="W155" s="42">
        <v>550</v>
      </c>
      <c r="X155" s="71">
        <v>538.87675663961045</v>
      </c>
      <c r="Y155" s="60">
        <f t="shared" si="51"/>
        <v>1.0206415348655102</v>
      </c>
      <c r="Z155" s="60">
        <f t="shared" si="49"/>
        <v>2.0641534865510236E-2</v>
      </c>
      <c r="AA155" s="14"/>
    </row>
    <row r="156" spans="1:29" ht="15" customHeight="1" x14ac:dyDescent="0.2">
      <c r="A156" s="36" t="s">
        <v>499</v>
      </c>
      <c r="B156" s="27" t="s">
        <v>314</v>
      </c>
      <c r="C156" s="21">
        <v>942048</v>
      </c>
      <c r="D156" s="7">
        <v>1925</v>
      </c>
      <c r="E156" s="7">
        <v>15</v>
      </c>
      <c r="F156" s="8">
        <f t="shared" si="52"/>
        <v>122.3438961038961</v>
      </c>
      <c r="G156" s="33">
        <v>471732</v>
      </c>
      <c r="H156" s="22">
        <v>1925</v>
      </c>
      <c r="I156" s="7">
        <v>10</v>
      </c>
      <c r="J156" s="8">
        <f t="shared" si="53"/>
        <v>40.842597402597399</v>
      </c>
      <c r="K156" s="7">
        <v>4017.9</v>
      </c>
      <c r="L156" s="7">
        <v>846720</v>
      </c>
      <c r="M156" s="7">
        <v>15</v>
      </c>
      <c r="N156" s="75">
        <f t="shared" si="54"/>
        <v>7.1178784013605445E-2</v>
      </c>
      <c r="O156" s="75">
        <f t="shared" si="56"/>
        <v>163.25767229050709</v>
      </c>
      <c r="P156" s="75">
        <f t="shared" si="57"/>
        <v>49.303817031733139</v>
      </c>
      <c r="Q156" s="68">
        <f t="shared" si="58"/>
        <v>166.52282573631723</v>
      </c>
      <c r="R156" s="55">
        <f>1.54*2+3.16+17.02</f>
        <v>23.259999999999998</v>
      </c>
      <c r="S156" s="55">
        <v>23.259999999999998</v>
      </c>
      <c r="T156" s="78">
        <f t="shared" si="47"/>
        <v>23.259999999999998</v>
      </c>
      <c r="U156" s="9">
        <f t="shared" si="48"/>
        <v>402.41549384257104</v>
      </c>
      <c r="V156" s="75">
        <f t="shared" si="55"/>
        <v>100.60387346064276</v>
      </c>
      <c r="W156" s="42">
        <v>503</v>
      </c>
      <c r="X156" s="71">
        <v>491.98534392659042</v>
      </c>
      <c r="Y156" s="60">
        <f t="shared" si="51"/>
        <v>1.022388179260586</v>
      </c>
      <c r="Z156" s="60">
        <f t="shared" si="49"/>
        <v>2.2388179260586005E-2</v>
      </c>
      <c r="AA156" s="14"/>
    </row>
    <row r="157" spans="1:29" ht="15" customHeight="1" x14ac:dyDescent="0.2">
      <c r="A157" s="36" t="s">
        <v>500</v>
      </c>
      <c r="B157" s="27" t="s">
        <v>78</v>
      </c>
      <c r="C157" s="21">
        <v>942048</v>
      </c>
      <c r="D157" s="7">
        <v>1925</v>
      </c>
      <c r="E157" s="7">
        <v>8</v>
      </c>
      <c r="F157" s="8">
        <f t="shared" si="52"/>
        <v>65.250077922077921</v>
      </c>
      <c r="G157" s="33">
        <v>471732</v>
      </c>
      <c r="H157" s="22">
        <v>1925</v>
      </c>
      <c r="I157" s="7">
        <v>8</v>
      </c>
      <c r="J157" s="8">
        <f t="shared" si="53"/>
        <v>32.67407792207792</v>
      </c>
      <c r="K157" s="7">
        <v>4017.9</v>
      </c>
      <c r="L157" s="7">
        <v>846720</v>
      </c>
      <c r="M157" s="7">
        <v>10</v>
      </c>
      <c r="N157" s="75">
        <f>K157/L157*M157</f>
        <v>4.7452522675736963E-2</v>
      </c>
      <c r="O157" s="75">
        <f t="shared" si="56"/>
        <v>97.971608366831589</v>
      </c>
      <c r="P157" s="75">
        <f t="shared" si="57"/>
        <v>29.587425726783138</v>
      </c>
      <c r="Q157" s="68">
        <f t="shared" si="58"/>
        <v>99.931040534168218</v>
      </c>
      <c r="R157" s="55">
        <f>1.54*2+3.16+17.02+1.99+12*3</f>
        <v>61.25</v>
      </c>
      <c r="S157" s="55">
        <v>61.25</v>
      </c>
      <c r="T157" s="78">
        <f t="shared" si="47"/>
        <v>61.25</v>
      </c>
      <c r="U157" s="9">
        <f t="shared" si="48"/>
        <v>288.78752715045869</v>
      </c>
      <c r="V157" s="75">
        <f t="shared" si="55"/>
        <v>72.196881787614672</v>
      </c>
      <c r="W157" s="42">
        <v>361</v>
      </c>
      <c r="X157" s="71">
        <v>349.59032478222923</v>
      </c>
      <c r="Y157" s="60">
        <f t="shared" si="51"/>
        <v>1.032637274000298</v>
      </c>
      <c r="Z157" s="60">
        <f t="shared" si="49"/>
        <v>3.2637274000298033E-2</v>
      </c>
      <c r="AA157" s="14"/>
    </row>
    <row r="158" spans="1:29" ht="15" customHeight="1" x14ac:dyDescent="0.2">
      <c r="A158" s="36" t="s">
        <v>501</v>
      </c>
      <c r="B158" s="27" t="s">
        <v>124</v>
      </c>
      <c r="C158" s="21">
        <v>942048</v>
      </c>
      <c r="D158" s="7">
        <v>1925</v>
      </c>
      <c r="E158" s="7">
        <v>15</v>
      </c>
      <c r="F158" s="8">
        <f t="shared" si="52"/>
        <v>122.3438961038961</v>
      </c>
      <c r="G158" s="33">
        <v>471732</v>
      </c>
      <c r="H158" s="22">
        <v>1925</v>
      </c>
      <c r="I158" s="7">
        <v>15</v>
      </c>
      <c r="J158" s="8">
        <f t="shared" si="53"/>
        <v>61.263896103896101</v>
      </c>
      <c r="K158" s="7">
        <v>141804</v>
      </c>
      <c r="L158" s="7">
        <v>846720</v>
      </c>
      <c r="M158" s="7">
        <v>18</v>
      </c>
      <c r="N158" s="75">
        <f t="shared" si="54"/>
        <v>3.0145408163265306</v>
      </c>
      <c r="O158" s="75">
        <f t="shared" si="56"/>
        <v>186.62233302411875</v>
      </c>
      <c r="P158" s="75">
        <f t="shared" si="57"/>
        <v>56.359944573283862</v>
      </c>
      <c r="Q158" s="68">
        <f t="shared" si="58"/>
        <v>190.35477968460111</v>
      </c>
      <c r="R158" s="55">
        <f>1.54*2+3.16+17.02</f>
        <v>23.259999999999998</v>
      </c>
      <c r="S158" s="55">
        <v>23.259999999999998</v>
      </c>
      <c r="T158" s="78">
        <f t="shared" si="47"/>
        <v>23.259999999999998</v>
      </c>
      <c r="U158" s="9">
        <f t="shared" si="48"/>
        <v>459.61159809833021</v>
      </c>
      <c r="V158" s="75">
        <f t="shared" si="55"/>
        <v>114.90289952458255</v>
      </c>
      <c r="W158" s="42">
        <v>575</v>
      </c>
      <c r="X158" s="71">
        <v>556.11189372680894</v>
      </c>
      <c r="Y158" s="60">
        <f t="shared" si="51"/>
        <v>1.0339645788666945</v>
      </c>
      <c r="Z158" s="60">
        <f t="shared" si="49"/>
        <v>3.3964578866694461E-2</v>
      </c>
      <c r="AA158" s="14"/>
    </row>
    <row r="159" spans="1:29" ht="15" customHeight="1" x14ac:dyDescent="0.2">
      <c r="A159" s="36" t="s">
        <v>502</v>
      </c>
      <c r="B159" s="73" t="s">
        <v>892</v>
      </c>
      <c r="C159" s="21">
        <v>942048</v>
      </c>
      <c r="D159" s="7">
        <v>1925</v>
      </c>
      <c r="E159" s="7">
        <v>18</v>
      </c>
      <c r="F159" s="8">
        <f t="shared" si="52"/>
        <v>146.81267532467533</v>
      </c>
      <c r="G159" s="33">
        <v>471732</v>
      </c>
      <c r="H159" s="22">
        <v>1925</v>
      </c>
      <c r="I159" s="7">
        <v>15</v>
      </c>
      <c r="J159" s="8">
        <f t="shared" si="53"/>
        <v>61.263896103896101</v>
      </c>
      <c r="K159" s="7">
        <v>547046.81999999995</v>
      </c>
      <c r="L159" s="7">
        <v>846720</v>
      </c>
      <c r="M159" s="7">
        <v>25</v>
      </c>
      <c r="N159" s="75">
        <f t="shared" si="54"/>
        <v>16.151939838435371</v>
      </c>
      <c r="O159" s="75">
        <f t="shared" si="56"/>
        <v>224.22851126700678</v>
      </c>
      <c r="P159" s="75">
        <f t="shared" si="57"/>
        <v>67.717010402636049</v>
      </c>
      <c r="Q159" s="68">
        <f t="shared" si="58"/>
        <v>228.71308149234693</v>
      </c>
      <c r="R159" s="55">
        <f>1.54+3.16*2</f>
        <v>7.86</v>
      </c>
      <c r="S159" s="55">
        <v>7.86</v>
      </c>
      <c r="T159" s="78">
        <f t="shared" si="47"/>
        <v>7.86</v>
      </c>
      <c r="U159" s="9">
        <f t="shared" si="48"/>
        <v>544.67054300042514</v>
      </c>
      <c r="V159" s="75">
        <f t="shared" si="55"/>
        <v>136.16763575010629</v>
      </c>
      <c r="W159" s="42">
        <v>681</v>
      </c>
      <c r="X159" s="71">
        <v>681.11651719208999</v>
      </c>
      <c r="Y159" s="60">
        <f t="shared" si="51"/>
        <v>0.99982893207087342</v>
      </c>
      <c r="Z159" s="60">
        <f t="shared" si="49"/>
        <v>-1.710679291265782E-4</v>
      </c>
      <c r="AA159" s="14"/>
    </row>
    <row r="160" spans="1:29" ht="15" customHeight="1" x14ac:dyDescent="0.2">
      <c r="A160" s="36" t="s">
        <v>503</v>
      </c>
      <c r="B160" s="27" t="s">
        <v>125</v>
      </c>
      <c r="C160" s="21">
        <v>942048</v>
      </c>
      <c r="D160" s="7">
        <v>1925</v>
      </c>
      <c r="E160" s="7">
        <v>12</v>
      </c>
      <c r="F160" s="8">
        <f t="shared" si="52"/>
        <v>97.875116883116874</v>
      </c>
      <c r="G160" s="33">
        <v>471732</v>
      </c>
      <c r="H160" s="22">
        <v>1925</v>
      </c>
      <c r="I160" s="7">
        <v>4</v>
      </c>
      <c r="J160" s="8">
        <f t="shared" si="53"/>
        <v>16.33703896103896</v>
      </c>
      <c r="K160" s="7">
        <v>22535.64</v>
      </c>
      <c r="L160" s="7">
        <v>846720</v>
      </c>
      <c r="M160" s="7">
        <v>13</v>
      </c>
      <c r="N160" s="75">
        <f t="shared" si="54"/>
        <v>0.34599787414965988</v>
      </c>
      <c r="O160" s="75">
        <f t="shared" si="56"/>
        <v>114.55815371830549</v>
      </c>
      <c r="P160" s="75">
        <f t="shared" si="57"/>
        <v>34.596562422928258</v>
      </c>
      <c r="Q160" s="68">
        <f t="shared" si="58"/>
        <v>116.8493167926716</v>
      </c>
      <c r="R160" s="55">
        <f>1.54*2+3.16+17.02</f>
        <v>23.259999999999998</v>
      </c>
      <c r="S160" s="55">
        <v>23.259999999999998</v>
      </c>
      <c r="T160" s="78">
        <f t="shared" si="47"/>
        <v>23.259999999999998</v>
      </c>
      <c r="U160" s="9">
        <f t="shared" si="48"/>
        <v>289.610030808055</v>
      </c>
      <c r="V160" s="75">
        <f t="shared" si="55"/>
        <v>72.40250770201375</v>
      </c>
      <c r="W160" s="42">
        <v>362</v>
      </c>
      <c r="X160" s="71">
        <v>359.08018422435453</v>
      </c>
      <c r="Y160" s="60">
        <f t="shared" si="51"/>
        <v>1.0081313753972598</v>
      </c>
      <c r="Z160" s="60">
        <f t="shared" si="49"/>
        <v>8.1313753972598324E-3</v>
      </c>
      <c r="AA160" s="14"/>
    </row>
    <row r="161" spans="1:27" ht="15" customHeight="1" x14ac:dyDescent="0.2">
      <c r="A161" s="36" t="s">
        <v>504</v>
      </c>
      <c r="B161" s="27" t="s">
        <v>126</v>
      </c>
      <c r="C161" s="21">
        <v>942048</v>
      </c>
      <c r="D161" s="7">
        <v>1925</v>
      </c>
      <c r="E161" s="7">
        <v>11</v>
      </c>
      <c r="F161" s="8">
        <f t="shared" si="52"/>
        <v>89.718857142857146</v>
      </c>
      <c r="G161" s="33">
        <v>471732</v>
      </c>
      <c r="H161" s="22">
        <v>1925</v>
      </c>
      <c r="I161" s="7">
        <v>4</v>
      </c>
      <c r="J161" s="8">
        <f t="shared" si="53"/>
        <v>16.33703896103896</v>
      </c>
      <c r="K161" s="7">
        <v>23448.959999999999</v>
      </c>
      <c r="L161" s="7">
        <v>846720</v>
      </c>
      <c r="M161" s="7">
        <v>10</v>
      </c>
      <c r="N161" s="75">
        <f t="shared" si="54"/>
        <v>0.27693877551020407</v>
      </c>
      <c r="O161" s="75">
        <f t="shared" si="56"/>
        <v>106.33283487940631</v>
      </c>
      <c r="P161" s="75">
        <f t="shared" si="57"/>
        <v>32.112516133580705</v>
      </c>
      <c r="Q161" s="68">
        <f t="shared" si="58"/>
        <v>108.45949157699444</v>
      </c>
      <c r="R161" s="55">
        <f>11+17.02</f>
        <v>28.02</v>
      </c>
      <c r="S161" s="55">
        <v>28.02</v>
      </c>
      <c r="T161" s="78">
        <f t="shared" si="47"/>
        <v>28.02</v>
      </c>
      <c r="U161" s="9">
        <f t="shared" si="48"/>
        <v>275.20178136549163</v>
      </c>
      <c r="V161" s="75">
        <f t="shared" si="55"/>
        <v>68.800445341372907</v>
      </c>
      <c r="W161" s="42">
        <v>344</v>
      </c>
      <c r="X161" s="71">
        <v>337.32692904452688</v>
      </c>
      <c r="Y161" s="60">
        <f t="shared" si="51"/>
        <v>1.0197822064617683</v>
      </c>
      <c r="Z161" s="60">
        <f t="shared" si="49"/>
        <v>1.9782206461768315E-2</v>
      </c>
      <c r="AA161" s="14"/>
    </row>
    <row r="162" spans="1:27" ht="15" customHeight="1" x14ac:dyDescent="0.2">
      <c r="A162" s="36" t="s">
        <v>505</v>
      </c>
      <c r="B162" s="73" t="s">
        <v>889</v>
      </c>
      <c r="C162" s="21">
        <v>942048</v>
      </c>
      <c r="D162" s="7">
        <v>1925</v>
      </c>
      <c r="E162" s="7">
        <v>9</v>
      </c>
      <c r="F162" s="8">
        <f t="shared" si="52"/>
        <v>73.406337662337663</v>
      </c>
      <c r="G162" s="33">
        <v>471732</v>
      </c>
      <c r="H162" s="22">
        <v>1925</v>
      </c>
      <c r="I162" s="7">
        <v>7</v>
      </c>
      <c r="J162" s="8">
        <f t="shared" si="53"/>
        <v>28.589818181818181</v>
      </c>
      <c r="K162" s="7">
        <v>435000</v>
      </c>
      <c r="L162" s="7">
        <v>846720</v>
      </c>
      <c r="M162" s="7">
        <v>15</v>
      </c>
      <c r="N162" s="75">
        <f t="shared" si="54"/>
        <v>7.7062074829931966</v>
      </c>
      <c r="O162" s="75">
        <f t="shared" si="56"/>
        <v>109.70236332714904</v>
      </c>
      <c r="P162" s="75">
        <f t="shared" si="57"/>
        <v>33.13011372479901</v>
      </c>
      <c r="Q162" s="68">
        <f t="shared" si="58"/>
        <v>111.89641059369202</v>
      </c>
      <c r="R162" s="55">
        <f>3.16</f>
        <v>3.16</v>
      </c>
      <c r="S162" s="55">
        <v>3.16</v>
      </c>
      <c r="T162" s="78">
        <f t="shared" si="47"/>
        <v>3.16</v>
      </c>
      <c r="U162" s="9">
        <f t="shared" si="48"/>
        <v>265.59509512863332</v>
      </c>
      <c r="V162" s="75">
        <f t="shared" si="55"/>
        <v>66.398773782158329</v>
      </c>
      <c r="W162" s="42">
        <v>332</v>
      </c>
      <c r="X162" s="71">
        <v>419.24407436533704</v>
      </c>
      <c r="Y162" s="60">
        <f t="shared" si="51"/>
        <v>0.79190147291310087</v>
      </c>
      <c r="Z162" s="60">
        <f t="shared" si="49"/>
        <v>-0.20809852708689913</v>
      </c>
      <c r="AA162" s="14"/>
    </row>
    <row r="163" spans="1:27" ht="15" customHeight="1" x14ac:dyDescent="0.2">
      <c r="A163" s="36" t="s">
        <v>506</v>
      </c>
      <c r="B163" s="27" t="s">
        <v>286</v>
      </c>
      <c r="C163" s="21">
        <v>942048</v>
      </c>
      <c r="D163" s="7">
        <v>1925</v>
      </c>
      <c r="E163" s="7">
        <v>17</v>
      </c>
      <c r="F163" s="8">
        <f t="shared" si="52"/>
        <v>138.65641558441558</v>
      </c>
      <c r="G163" s="33">
        <v>471732</v>
      </c>
      <c r="H163" s="22">
        <v>1925</v>
      </c>
      <c r="I163" s="7">
        <v>10</v>
      </c>
      <c r="J163" s="8">
        <f t="shared" si="53"/>
        <v>40.842597402597399</v>
      </c>
      <c r="K163" s="7">
        <v>166880.32000000001</v>
      </c>
      <c r="L163" s="7">
        <v>846720</v>
      </c>
      <c r="M163" s="7">
        <v>18</v>
      </c>
      <c r="N163" s="75">
        <f t="shared" si="54"/>
        <v>3.5476258503401361</v>
      </c>
      <c r="O163" s="75">
        <f t="shared" si="56"/>
        <v>183.0466388373531</v>
      </c>
      <c r="P163" s="75">
        <f t="shared" si="57"/>
        <v>55.280084928880633</v>
      </c>
      <c r="Q163" s="68">
        <f t="shared" si="58"/>
        <v>186.70757161410017</v>
      </c>
      <c r="R163" s="55">
        <f>1.54*2+3.16+17.02+12</f>
        <v>35.26</v>
      </c>
      <c r="S163" s="55">
        <v>35.26</v>
      </c>
      <c r="T163" s="78">
        <f t="shared" si="47"/>
        <v>35.26</v>
      </c>
      <c r="U163" s="9">
        <f t="shared" si="48"/>
        <v>463.84192123067402</v>
      </c>
      <c r="V163" s="75">
        <f t="shared" si="55"/>
        <v>115.9604803076685</v>
      </c>
      <c r="W163" s="42">
        <v>580</v>
      </c>
      <c r="X163" s="71">
        <v>547.82574751236848</v>
      </c>
      <c r="Y163" s="60">
        <f t="shared" si="51"/>
        <v>1.0587308147412424</v>
      </c>
      <c r="Z163" s="60">
        <f t="shared" si="49"/>
        <v>5.8730814741242421E-2</v>
      </c>
      <c r="AA163" s="14"/>
    </row>
    <row r="164" spans="1:27" ht="15" customHeight="1" x14ac:dyDescent="0.2">
      <c r="A164" s="36" t="s">
        <v>507</v>
      </c>
      <c r="B164" s="27" t="s">
        <v>127</v>
      </c>
      <c r="C164" s="21">
        <v>942048</v>
      </c>
      <c r="D164" s="7">
        <v>1925</v>
      </c>
      <c r="E164" s="7">
        <v>17</v>
      </c>
      <c r="F164" s="8">
        <f t="shared" si="52"/>
        <v>138.65641558441558</v>
      </c>
      <c r="G164" s="33">
        <v>471732</v>
      </c>
      <c r="H164" s="22">
        <v>1925</v>
      </c>
      <c r="I164" s="7">
        <v>10</v>
      </c>
      <c r="J164" s="8">
        <f>G164/H164/60*I164</f>
        <v>40.842597402597399</v>
      </c>
      <c r="K164" s="7">
        <v>507400</v>
      </c>
      <c r="L164" s="7">
        <v>846720</v>
      </c>
      <c r="M164" s="7">
        <v>15</v>
      </c>
      <c r="N164" s="75">
        <f t="shared" si="54"/>
        <v>8.9888038548752842</v>
      </c>
      <c r="O164" s="75">
        <f t="shared" si="56"/>
        <v>188.48781684188825</v>
      </c>
      <c r="P164" s="75">
        <f t="shared" si="57"/>
        <v>56.92332068625025</v>
      </c>
      <c r="Q164" s="68">
        <f t="shared" si="58"/>
        <v>192.25757317872601</v>
      </c>
      <c r="R164" s="55">
        <f>17.02+7.9</f>
        <v>24.92</v>
      </c>
      <c r="S164" s="55">
        <v>24.92</v>
      </c>
      <c r="T164" s="78">
        <f t="shared" si="47"/>
        <v>24.92</v>
      </c>
      <c r="U164" s="9">
        <f t="shared" si="48"/>
        <v>471.57751456173975</v>
      </c>
      <c r="V164" s="75">
        <f>U164*25%</f>
        <v>117.89437864043494</v>
      </c>
      <c r="W164" s="42">
        <v>589</v>
      </c>
      <c r="X164" s="71">
        <v>557.4952391762007</v>
      </c>
      <c r="Y164" s="60">
        <f t="shared" si="51"/>
        <v>1.0565112643299936</v>
      </c>
      <c r="Z164" s="60">
        <f t="shared" si="49"/>
        <v>5.6511264329993649E-2</v>
      </c>
      <c r="AA164" s="14"/>
    </row>
    <row r="165" spans="1:27" ht="15" customHeight="1" x14ac:dyDescent="0.2">
      <c r="A165" s="36" t="s">
        <v>508</v>
      </c>
      <c r="B165" s="27" t="s">
        <v>128</v>
      </c>
      <c r="C165" s="21">
        <v>942048</v>
      </c>
      <c r="D165" s="7">
        <v>1925</v>
      </c>
      <c r="E165" s="7">
        <v>12</v>
      </c>
      <c r="F165" s="8">
        <f t="shared" si="52"/>
        <v>97.875116883116874</v>
      </c>
      <c r="G165" s="33">
        <v>471732</v>
      </c>
      <c r="H165" s="22">
        <v>1925</v>
      </c>
      <c r="I165" s="7">
        <v>5</v>
      </c>
      <c r="J165" s="8">
        <f>G165/H165/60*I165</f>
        <v>20.421298701298699</v>
      </c>
      <c r="K165" s="7">
        <v>497224.36</v>
      </c>
      <c r="L165" s="7">
        <v>846720</v>
      </c>
      <c r="M165" s="7">
        <v>15</v>
      </c>
      <c r="N165" s="75">
        <f t="shared" si="54"/>
        <v>8.8085381235827658</v>
      </c>
      <c r="O165" s="75">
        <f t="shared" si="56"/>
        <v>127.10495370799833</v>
      </c>
      <c r="P165" s="75">
        <f t="shared" si="57"/>
        <v>38.385696019815498</v>
      </c>
      <c r="Q165" s="68">
        <f t="shared" si="58"/>
        <v>129.64705278215831</v>
      </c>
      <c r="R165" s="55">
        <f>1.54*2+17.02+1.99*2+12*4</f>
        <v>72.08</v>
      </c>
      <c r="S165" s="55">
        <v>72.08</v>
      </c>
      <c r="T165" s="78">
        <f t="shared" si="47"/>
        <v>72.08</v>
      </c>
      <c r="U165" s="9">
        <f t="shared" si="48"/>
        <v>376.02624063355489</v>
      </c>
      <c r="V165" s="75">
        <f>U165*25%</f>
        <v>94.006560158388723</v>
      </c>
      <c r="W165" s="42">
        <v>470</v>
      </c>
      <c r="X165" s="71">
        <v>453.32917715557994</v>
      </c>
      <c r="Y165" s="60">
        <f t="shared" si="51"/>
        <v>1.036774211068922</v>
      </c>
      <c r="Z165" s="60">
        <f t="shared" si="49"/>
        <v>3.677421106892198E-2</v>
      </c>
      <c r="AA165" s="14"/>
    </row>
    <row r="166" spans="1:27" ht="15" customHeight="1" x14ac:dyDescent="0.2">
      <c r="A166" s="36" t="s">
        <v>509</v>
      </c>
      <c r="B166" s="27" t="s">
        <v>335</v>
      </c>
      <c r="C166" s="21">
        <v>942048</v>
      </c>
      <c r="D166" s="7">
        <v>1925</v>
      </c>
      <c r="E166" s="7">
        <v>15</v>
      </c>
      <c r="F166" s="8">
        <f t="shared" si="52"/>
        <v>122.3438961038961</v>
      </c>
      <c r="G166" s="33">
        <v>471732</v>
      </c>
      <c r="H166" s="22">
        <v>1925</v>
      </c>
      <c r="I166" s="7">
        <v>10</v>
      </c>
      <c r="J166" s="8">
        <f>G166/H166/60*I166</f>
        <v>40.842597402597399</v>
      </c>
      <c r="K166" s="7">
        <v>497224.36</v>
      </c>
      <c r="L166" s="7">
        <v>846720</v>
      </c>
      <c r="M166" s="7">
        <v>20</v>
      </c>
      <c r="N166" s="75">
        <f>K166/L166*M166</f>
        <v>11.744717498110354</v>
      </c>
      <c r="O166" s="75">
        <f>F166+J166+N166</f>
        <v>174.93121100460385</v>
      </c>
      <c r="P166" s="75">
        <f>O166*0.302</f>
        <v>52.829225723390358</v>
      </c>
      <c r="Q166" s="68">
        <f t="shared" si="58"/>
        <v>178.42983522469592</v>
      </c>
      <c r="R166" s="55">
        <f>1.54*2+17.02+1.99*2+12*4</f>
        <v>72.08</v>
      </c>
      <c r="S166" s="55">
        <v>72.08</v>
      </c>
      <c r="T166" s="78">
        <f t="shared" si="47"/>
        <v>72.08</v>
      </c>
      <c r="U166" s="9">
        <f t="shared" si="48"/>
        <v>490.01498945080044</v>
      </c>
      <c r="V166" s="75">
        <f>U166*25%</f>
        <v>122.50374736270011</v>
      </c>
      <c r="W166" s="42">
        <v>613</v>
      </c>
      <c r="X166" s="71">
        <v>581.62769317713708</v>
      </c>
      <c r="Y166" s="60">
        <f t="shared" si="51"/>
        <v>1.0539388120457125</v>
      </c>
      <c r="Z166" s="60">
        <f t="shared" si="49"/>
        <v>5.3938812045712492E-2</v>
      </c>
      <c r="AA166" s="14"/>
    </row>
    <row r="167" spans="1:27" ht="15" customHeight="1" x14ac:dyDescent="0.2">
      <c r="A167" s="36" t="s">
        <v>510</v>
      </c>
      <c r="B167" s="27" t="s">
        <v>129</v>
      </c>
      <c r="C167" s="21">
        <v>942048</v>
      </c>
      <c r="D167" s="7">
        <v>1925</v>
      </c>
      <c r="E167" s="7">
        <v>11</v>
      </c>
      <c r="F167" s="8">
        <f t="shared" ref="F167:F172" si="59">C167/D167/60*E167</f>
        <v>89.718857142857146</v>
      </c>
      <c r="G167" s="33">
        <v>471732</v>
      </c>
      <c r="H167" s="7">
        <v>1925</v>
      </c>
      <c r="I167" s="7">
        <v>5</v>
      </c>
      <c r="J167" s="8">
        <f t="shared" ref="J167:J172" si="60">G167/H167/60*I167</f>
        <v>20.421298701298699</v>
      </c>
      <c r="K167" s="7">
        <v>430220.92</v>
      </c>
      <c r="L167" s="7">
        <v>846720</v>
      </c>
      <c r="M167" s="7">
        <v>10</v>
      </c>
      <c r="N167" s="75">
        <f t="shared" si="54"/>
        <v>5.0810293839758121</v>
      </c>
      <c r="O167" s="75">
        <f t="shared" ref="O167:O172" si="61">F167+J167+N167</f>
        <v>115.22118522813166</v>
      </c>
      <c r="P167" s="75">
        <f t="shared" ref="P167:P172" si="62">O167*0.302</f>
        <v>34.796797938895757</v>
      </c>
      <c r="Q167" s="68">
        <f t="shared" ref="Q167:Q172" si="63">(O167)*102%</f>
        <v>117.5256089326943</v>
      </c>
      <c r="R167" s="55">
        <f>1.99*3.5</f>
        <v>6.9649999999999999</v>
      </c>
      <c r="S167" s="55">
        <v>6.9649999999999999</v>
      </c>
      <c r="T167" s="78">
        <f t="shared" si="47"/>
        <v>6.9649999999999999</v>
      </c>
      <c r="U167" s="9">
        <f t="shared" si="48"/>
        <v>279.5896214836975</v>
      </c>
      <c r="V167" s="75">
        <f t="shared" ref="V167:V172" si="64">U167*25%</f>
        <v>69.897405370924375</v>
      </c>
      <c r="W167" s="42">
        <v>349</v>
      </c>
      <c r="X167" s="71">
        <v>330.95716529618039</v>
      </c>
      <c r="Y167" s="60">
        <f t="shared" si="51"/>
        <v>1.0545171296946318</v>
      </c>
      <c r="Z167" s="60">
        <f t="shared" si="49"/>
        <v>5.451712969463185E-2</v>
      </c>
      <c r="AA167" s="14"/>
    </row>
    <row r="168" spans="1:27" ht="15" customHeight="1" x14ac:dyDescent="0.2">
      <c r="A168" s="36" t="s">
        <v>511</v>
      </c>
      <c r="B168" s="73" t="s">
        <v>893</v>
      </c>
      <c r="C168" s="21">
        <v>942048</v>
      </c>
      <c r="D168" s="7">
        <v>1925</v>
      </c>
      <c r="E168" s="7">
        <v>11</v>
      </c>
      <c r="F168" s="8">
        <f t="shared" si="59"/>
        <v>89.718857142857146</v>
      </c>
      <c r="G168" s="33">
        <v>471732</v>
      </c>
      <c r="H168" s="7">
        <v>1925</v>
      </c>
      <c r="I168" s="7">
        <v>5</v>
      </c>
      <c r="J168" s="8">
        <f t="shared" si="60"/>
        <v>20.421298701298699</v>
      </c>
      <c r="K168" s="7">
        <v>269909.65999999997</v>
      </c>
      <c r="L168" s="7">
        <v>846720</v>
      </c>
      <c r="M168" s="7">
        <v>10</v>
      </c>
      <c r="N168" s="75">
        <f t="shared" si="54"/>
        <v>3.187708569538926</v>
      </c>
      <c r="O168" s="75">
        <f t="shared" si="61"/>
        <v>113.32786441369477</v>
      </c>
      <c r="P168" s="75">
        <f t="shared" si="62"/>
        <v>34.225015052935817</v>
      </c>
      <c r="Q168" s="68">
        <f t="shared" si="63"/>
        <v>115.59442170196867</v>
      </c>
      <c r="R168" s="55">
        <f>1.99*3.5</f>
        <v>6.9649999999999999</v>
      </c>
      <c r="S168" s="55">
        <v>6.9649999999999999</v>
      </c>
      <c r="T168" s="78">
        <f t="shared" si="47"/>
        <v>6.9649999999999999</v>
      </c>
      <c r="U168" s="9">
        <f t="shared" si="48"/>
        <v>273.30000973813816</v>
      </c>
      <c r="V168" s="75">
        <f t="shared" si="64"/>
        <v>68.325002434534539</v>
      </c>
      <c r="W168" s="42">
        <v>342</v>
      </c>
      <c r="X168" s="71">
        <v>341.03546541942592</v>
      </c>
      <c r="Y168" s="60">
        <f t="shared" si="51"/>
        <v>1.0028282530070234</v>
      </c>
      <c r="Z168" s="60">
        <f t="shared" si="49"/>
        <v>2.8282530070233847E-3</v>
      </c>
      <c r="AA168" s="14"/>
    </row>
    <row r="169" spans="1:27" ht="15" customHeight="1" x14ac:dyDescent="0.2">
      <c r="A169" s="36" t="s">
        <v>512</v>
      </c>
      <c r="B169" s="27" t="s">
        <v>130</v>
      </c>
      <c r="C169" s="21">
        <v>942048</v>
      </c>
      <c r="D169" s="7">
        <v>1925</v>
      </c>
      <c r="E169" s="7">
        <v>11</v>
      </c>
      <c r="F169" s="8">
        <f t="shared" si="59"/>
        <v>89.718857142857146</v>
      </c>
      <c r="G169" s="33">
        <v>471732</v>
      </c>
      <c r="H169" s="7">
        <v>1925</v>
      </c>
      <c r="I169" s="7">
        <v>10</v>
      </c>
      <c r="J169" s="8">
        <f t="shared" si="60"/>
        <v>40.842597402597399</v>
      </c>
      <c r="K169" s="7">
        <v>186043.51999999999</v>
      </c>
      <c r="L169" s="7">
        <v>846720</v>
      </c>
      <c r="M169" s="7">
        <v>15</v>
      </c>
      <c r="N169" s="75">
        <f t="shared" si="54"/>
        <v>3.2958390022675736</v>
      </c>
      <c r="O169" s="75">
        <f t="shared" si="61"/>
        <v>133.85729354772212</v>
      </c>
      <c r="P169" s="75">
        <f t="shared" si="62"/>
        <v>40.424902651412083</v>
      </c>
      <c r="Q169" s="68">
        <f t="shared" si="63"/>
        <v>136.53443941867656</v>
      </c>
      <c r="R169" s="55">
        <f>1.99*11</f>
        <v>21.89</v>
      </c>
      <c r="S169" s="55">
        <v>21.89</v>
      </c>
      <c r="T169" s="78">
        <f t="shared" si="47"/>
        <v>21.89</v>
      </c>
      <c r="U169" s="9">
        <f t="shared" si="48"/>
        <v>336.00247462007832</v>
      </c>
      <c r="V169" s="75">
        <f t="shared" si="64"/>
        <v>84.000618655019579</v>
      </c>
      <c r="W169" s="42">
        <v>420</v>
      </c>
      <c r="X169" s="71">
        <v>413.96167145691606</v>
      </c>
      <c r="Y169" s="60">
        <f t="shared" si="51"/>
        <v>1.0145866850953431</v>
      </c>
      <c r="Z169" s="60">
        <f t="shared" si="49"/>
        <v>1.458668509534311E-2</v>
      </c>
      <c r="AA169" s="14"/>
    </row>
    <row r="170" spans="1:27" ht="15" customHeight="1" x14ac:dyDescent="0.2">
      <c r="A170" s="36" t="s">
        <v>513</v>
      </c>
      <c r="B170" s="119" t="s">
        <v>894</v>
      </c>
      <c r="C170" s="21">
        <v>942048</v>
      </c>
      <c r="D170" s="7">
        <v>1925</v>
      </c>
      <c r="E170" s="7">
        <v>11</v>
      </c>
      <c r="F170" s="8">
        <f t="shared" si="59"/>
        <v>89.718857142857146</v>
      </c>
      <c r="G170" s="33">
        <v>471732</v>
      </c>
      <c r="H170" s="7">
        <v>1925</v>
      </c>
      <c r="I170" s="7">
        <v>11</v>
      </c>
      <c r="J170" s="8">
        <f t="shared" si="60"/>
        <v>44.926857142857138</v>
      </c>
      <c r="K170" s="7">
        <v>797655.48</v>
      </c>
      <c r="L170" s="7">
        <v>846720</v>
      </c>
      <c r="M170" s="7">
        <v>15</v>
      </c>
      <c r="N170" s="75">
        <f t="shared" si="54"/>
        <v>14.130801445578232</v>
      </c>
      <c r="O170" s="75">
        <f t="shared" si="61"/>
        <v>148.77651573129253</v>
      </c>
      <c r="P170" s="75">
        <f t="shared" si="62"/>
        <v>44.930507750850346</v>
      </c>
      <c r="Q170" s="68">
        <f t="shared" si="63"/>
        <v>151.75204604591838</v>
      </c>
      <c r="R170" s="55">
        <f>1.99*11</f>
        <v>21.89</v>
      </c>
      <c r="S170" s="55">
        <v>21.89</v>
      </c>
      <c r="T170" s="78">
        <f t="shared" si="47"/>
        <v>21.89</v>
      </c>
      <c r="U170" s="9">
        <f t="shared" si="48"/>
        <v>381.47987097363949</v>
      </c>
      <c r="V170" s="75">
        <f t="shared" si="64"/>
        <v>95.369967743409873</v>
      </c>
      <c r="W170" s="42">
        <v>477</v>
      </c>
      <c r="X170" s="71">
        <v>469.33470079497141</v>
      </c>
      <c r="Y170" s="60">
        <f t="shared" si="51"/>
        <v>1.0163322660609686</v>
      </c>
      <c r="Z170" s="60">
        <f t="shared" si="49"/>
        <v>1.6332266060968603E-2</v>
      </c>
      <c r="AA170" s="14"/>
    </row>
    <row r="171" spans="1:27" ht="15" customHeight="1" x14ac:dyDescent="0.2">
      <c r="A171" s="36" t="s">
        <v>514</v>
      </c>
      <c r="B171" s="30" t="s">
        <v>131</v>
      </c>
      <c r="C171" s="21">
        <v>942048</v>
      </c>
      <c r="D171" s="7">
        <v>1925</v>
      </c>
      <c r="E171" s="7">
        <v>25</v>
      </c>
      <c r="F171" s="8">
        <f t="shared" si="59"/>
        <v>203.90649350649349</v>
      </c>
      <c r="G171" s="33">
        <v>471732</v>
      </c>
      <c r="H171" s="7">
        <v>1925</v>
      </c>
      <c r="I171" s="7">
        <v>30</v>
      </c>
      <c r="J171" s="8">
        <f t="shared" si="60"/>
        <v>122.5277922077922</v>
      </c>
      <c r="K171" s="7">
        <v>547046.81999999995</v>
      </c>
      <c r="L171" s="7">
        <v>846720</v>
      </c>
      <c r="M171" s="7">
        <v>40</v>
      </c>
      <c r="N171" s="75">
        <f t="shared" si="54"/>
        <v>25.843103741496595</v>
      </c>
      <c r="O171" s="75">
        <f t="shared" si="61"/>
        <v>352.27738945578227</v>
      </c>
      <c r="P171" s="75">
        <f t="shared" si="62"/>
        <v>106.38777161564624</v>
      </c>
      <c r="Q171" s="68">
        <f t="shared" si="63"/>
        <v>359.3229372448979</v>
      </c>
      <c r="R171" s="55">
        <f>1.99*17</f>
        <v>33.83</v>
      </c>
      <c r="S171" s="55">
        <v>33.83</v>
      </c>
      <c r="T171" s="78">
        <f t="shared" si="47"/>
        <v>33.83</v>
      </c>
      <c r="U171" s="9">
        <f t="shared" si="48"/>
        <v>877.66120205782306</v>
      </c>
      <c r="V171" s="75">
        <f t="shared" si="64"/>
        <v>219.41530051445577</v>
      </c>
      <c r="W171" s="42">
        <v>1097</v>
      </c>
      <c r="X171" s="71">
        <v>1088.9374402346166</v>
      </c>
      <c r="Y171" s="60">
        <f t="shared" si="51"/>
        <v>1.0074040614891948</v>
      </c>
      <c r="Z171" s="60">
        <f t="shared" si="49"/>
        <v>7.4040614891948131E-3</v>
      </c>
      <c r="AA171" s="14"/>
    </row>
    <row r="172" spans="1:27" ht="15" customHeight="1" x14ac:dyDescent="0.2">
      <c r="A172" s="36" t="s">
        <v>515</v>
      </c>
      <c r="B172" s="30" t="s">
        <v>132</v>
      </c>
      <c r="C172" s="21">
        <v>942048</v>
      </c>
      <c r="D172" s="7">
        <v>1925</v>
      </c>
      <c r="E172" s="7">
        <v>19</v>
      </c>
      <c r="F172" s="8">
        <f t="shared" si="59"/>
        <v>154.96893506493507</v>
      </c>
      <c r="G172" s="33">
        <v>471732</v>
      </c>
      <c r="H172" s="7">
        <v>1925</v>
      </c>
      <c r="I172" s="7">
        <v>15</v>
      </c>
      <c r="J172" s="8">
        <f t="shared" si="60"/>
        <v>61.263896103896101</v>
      </c>
      <c r="K172" s="7">
        <v>547046.81999999995</v>
      </c>
      <c r="L172" s="7">
        <v>846720</v>
      </c>
      <c r="M172" s="7">
        <v>20</v>
      </c>
      <c r="N172" s="75">
        <f t="shared" si="54"/>
        <v>12.921551870748297</v>
      </c>
      <c r="O172" s="75">
        <f t="shared" si="61"/>
        <v>229.15438303957947</v>
      </c>
      <c r="P172" s="75">
        <f t="shared" si="62"/>
        <v>69.204623677952995</v>
      </c>
      <c r="Q172" s="68">
        <f t="shared" si="63"/>
        <v>233.73747070037106</v>
      </c>
      <c r="R172" s="55">
        <f>1.99*17</f>
        <v>33.83</v>
      </c>
      <c r="S172" s="55">
        <v>33.83</v>
      </c>
      <c r="T172" s="78">
        <f t="shared" si="47"/>
        <v>33.83</v>
      </c>
      <c r="U172" s="9">
        <f t="shared" si="48"/>
        <v>578.8480292886519</v>
      </c>
      <c r="V172" s="75">
        <f t="shared" si="64"/>
        <v>144.71200732216298</v>
      </c>
      <c r="W172" s="42">
        <v>724</v>
      </c>
      <c r="X172" s="71">
        <v>700.16483115626943</v>
      </c>
      <c r="Y172" s="60">
        <f t="shared" si="51"/>
        <v>1.0340422251777037</v>
      </c>
      <c r="Z172" s="60">
        <f t="shared" si="49"/>
        <v>3.4042225177703722E-2</v>
      </c>
      <c r="AA172" s="14"/>
    </row>
    <row r="173" spans="1:27" ht="15" customHeight="1" x14ac:dyDescent="0.2">
      <c r="A173" s="36" t="s">
        <v>516</v>
      </c>
      <c r="B173" s="27" t="s">
        <v>3</v>
      </c>
      <c r="C173" s="21">
        <v>942048</v>
      </c>
      <c r="D173" s="7">
        <v>1650</v>
      </c>
      <c r="E173" s="7">
        <v>27</v>
      </c>
      <c r="F173" s="8">
        <f t="shared" ref="F173:F179" si="65">C173/D173/60*E173</f>
        <v>256.92218181818185</v>
      </c>
      <c r="G173" s="33">
        <v>471732</v>
      </c>
      <c r="H173" s="7">
        <v>1925</v>
      </c>
      <c r="I173" s="7">
        <v>5</v>
      </c>
      <c r="J173" s="8">
        <f t="shared" ref="J173:J179" si="66">G173/H173/60*I173</f>
        <v>20.421298701298699</v>
      </c>
      <c r="K173" s="7">
        <v>0</v>
      </c>
      <c r="L173" s="7">
        <v>1</v>
      </c>
      <c r="M173" s="7">
        <v>0</v>
      </c>
      <c r="N173" s="75">
        <f t="shared" ref="N173:N179" si="67">K173/L173*M173</f>
        <v>0</v>
      </c>
      <c r="O173" s="75">
        <f t="shared" ref="O173:O179" si="68">F173+J173+N173</f>
        <v>277.34348051948058</v>
      </c>
      <c r="P173" s="75">
        <f t="shared" ref="P173:P179" si="69">O173*0.302</f>
        <v>83.757731116883136</v>
      </c>
      <c r="Q173" s="68">
        <f t="shared" ref="Q173:Q179" si="70">(O173)*102%</f>
        <v>282.89035012987017</v>
      </c>
      <c r="R173" s="55">
        <f>3.16+17.02</f>
        <v>20.18</v>
      </c>
      <c r="S173" s="55">
        <v>20.18</v>
      </c>
      <c r="T173" s="78">
        <f t="shared" si="47"/>
        <v>20.18</v>
      </c>
      <c r="U173" s="9">
        <f t="shared" si="48"/>
        <v>664.17156176623382</v>
      </c>
      <c r="V173" s="75">
        <f t="shared" ref="V173:V179" si="71">U173*25%</f>
        <v>166.04289044155846</v>
      </c>
      <c r="W173" s="42">
        <v>830</v>
      </c>
      <c r="X173" s="71">
        <v>808.848735064935</v>
      </c>
      <c r="Y173" s="60">
        <f t="shared" si="51"/>
        <v>1.0261498399121154</v>
      </c>
      <c r="Z173" s="60">
        <f t="shared" si="49"/>
        <v>2.6149839912115391E-2</v>
      </c>
      <c r="AA173" s="14"/>
    </row>
    <row r="174" spans="1:27" ht="15" customHeight="1" x14ac:dyDescent="0.2">
      <c r="A174" s="36" t="s">
        <v>517</v>
      </c>
      <c r="B174" s="27" t="s">
        <v>367</v>
      </c>
      <c r="C174" s="21">
        <v>942048</v>
      </c>
      <c r="D174" s="7">
        <v>1650</v>
      </c>
      <c r="E174" s="7">
        <v>30</v>
      </c>
      <c r="F174" s="8">
        <f t="shared" si="65"/>
        <v>285.46909090909094</v>
      </c>
      <c r="G174" s="33">
        <v>471732</v>
      </c>
      <c r="H174" s="7">
        <v>1925</v>
      </c>
      <c r="I174" s="7">
        <v>15</v>
      </c>
      <c r="J174" s="8">
        <f t="shared" si="66"/>
        <v>61.263896103896101</v>
      </c>
      <c r="K174" s="7">
        <v>50942</v>
      </c>
      <c r="L174" s="7">
        <v>846720</v>
      </c>
      <c r="M174" s="7">
        <v>16</v>
      </c>
      <c r="N174" s="75">
        <f t="shared" si="67"/>
        <v>0.96262282690854117</v>
      </c>
      <c r="O174" s="75">
        <f t="shared" si="68"/>
        <v>347.69560983989561</v>
      </c>
      <c r="P174" s="75">
        <f t="shared" si="69"/>
        <v>105.00407417164847</v>
      </c>
      <c r="Q174" s="68">
        <f t="shared" si="70"/>
        <v>354.64952203669355</v>
      </c>
      <c r="R174" s="55">
        <f>17.02+1.8</f>
        <v>18.82</v>
      </c>
      <c r="S174" s="55">
        <v>18.82</v>
      </c>
      <c r="T174" s="78">
        <f t="shared" si="47"/>
        <v>18.82</v>
      </c>
      <c r="U174" s="9">
        <f t="shared" si="48"/>
        <v>827.1318288751462</v>
      </c>
      <c r="V174" s="75">
        <f t="shared" si="71"/>
        <v>206.78295721878655</v>
      </c>
      <c r="W174" s="42">
        <v>1034</v>
      </c>
      <c r="X174" s="71">
        <v>1008.7194777822444</v>
      </c>
      <c r="Y174" s="60">
        <f t="shared" si="51"/>
        <v>1.0250619947116884</v>
      </c>
      <c r="Z174" s="60">
        <f t="shared" si="49"/>
        <v>2.5061994711688351E-2</v>
      </c>
      <c r="AA174" s="14"/>
    </row>
    <row r="175" spans="1:27" ht="15" customHeight="1" x14ac:dyDescent="0.2">
      <c r="A175" s="36" t="s">
        <v>518</v>
      </c>
      <c r="B175" s="27" t="s">
        <v>5</v>
      </c>
      <c r="C175" s="21">
        <v>942048</v>
      </c>
      <c r="D175" s="7">
        <v>1500</v>
      </c>
      <c r="E175" s="7">
        <v>33</v>
      </c>
      <c r="F175" s="8">
        <f t="shared" si="65"/>
        <v>345.41759999999999</v>
      </c>
      <c r="G175" s="33">
        <v>471732</v>
      </c>
      <c r="H175" s="7">
        <v>1925</v>
      </c>
      <c r="I175" s="7">
        <v>5</v>
      </c>
      <c r="J175" s="8">
        <f t="shared" si="66"/>
        <v>20.421298701298699</v>
      </c>
      <c r="K175" s="7">
        <v>7363.2</v>
      </c>
      <c r="L175" s="7">
        <v>846720</v>
      </c>
      <c r="M175" s="7">
        <v>20</v>
      </c>
      <c r="N175" s="75">
        <f t="shared" si="67"/>
        <v>0.17392290249433107</v>
      </c>
      <c r="O175" s="75">
        <f t="shared" si="68"/>
        <v>366.01282160379304</v>
      </c>
      <c r="P175" s="75">
        <f t="shared" si="69"/>
        <v>110.5358721243455</v>
      </c>
      <c r="Q175" s="68">
        <f t="shared" si="70"/>
        <v>373.33307803586894</v>
      </c>
      <c r="R175" s="55">
        <f>17.02+1.54*2+9.95</f>
        <v>30.05</v>
      </c>
      <c r="S175" s="55">
        <v>30.05</v>
      </c>
      <c r="T175" s="78">
        <f t="shared" si="47"/>
        <v>30.05</v>
      </c>
      <c r="U175" s="9">
        <f t="shared" si="48"/>
        <v>880.10569466650168</v>
      </c>
      <c r="V175" s="75">
        <f t="shared" si="71"/>
        <v>220.02642366662542</v>
      </c>
      <c r="W175" s="42">
        <v>1100</v>
      </c>
      <c r="X175" s="71">
        <v>1097.7676186967633</v>
      </c>
      <c r="Y175" s="60">
        <f t="shared" si="51"/>
        <v>1.0020335645406329</v>
      </c>
      <c r="Z175" s="60">
        <f t="shared" si="49"/>
        <v>2.0335645406328595E-3</v>
      </c>
      <c r="AA175" s="14"/>
    </row>
    <row r="176" spans="1:27" ht="15" customHeight="1" x14ac:dyDescent="0.2">
      <c r="A176" s="36" t="s">
        <v>519</v>
      </c>
      <c r="B176" s="27" t="s">
        <v>19</v>
      </c>
      <c r="C176" s="21">
        <v>942048</v>
      </c>
      <c r="D176" s="7">
        <v>1650</v>
      </c>
      <c r="E176" s="7">
        <v>30</v>
      </c>
      <c r="F176" s="8">
        <f t="shared" si="65"/>
        <v>285.46909090909094</v>
      </c>
      <c r="G176" s="33">
        <v>471732</v>
      </c>
      <c r="H176" s="7">
        <v>1925</v>
      </c>
      <c r="I176" s="7">
        <v>15</v>
      </c>
      <c r="J176" s="8">
        <f t="shared" si="66"/>
        <v>61.263896103896101</v>
      </c>
      <c r="K176" s="7">
        <v>14726.4</v>
      </c>
      <c r="L176" s="7">
        <v>846720</v>
      </c>
      <c r="M176" s="7">
        <v>20</v>
      </c>
      <c r="N176" s="75">
        <f t="shared" si="67"/>
        <v>0.34784580498866213</v>
      </c>
      <c r="O176" s="75">
        <f t="shared" si="68"/>
        <v>347.0808328179757</v>
      </c>
      <c r="P176" s="75">
        <f t="shared" si="69"/>
        <v>104.81841151102866</v>
      </c>
      <c r="Q176" s="68">
        <f t="shared" si="70"/>
        <v>354.02244947433525</v>
      </c>
      <c r="R176" s="55">
        <f>17.02+3.16*2</f>
        <v>23.34</v>
      </c>
      <c r="S176" s="55">
        <v>23.34</v>
      </c>
      <c r="T176" s="78">
        <f t="shared" si="47"/>
        <v>23.34</v>
      </c>
      <c r="U176" s="9">
        <f t="shared" si="48"/>
        <v>829.6095396083283</v>
      </c>
      <c r="V176" s="75">
        <f t="shared" si="71"/>
        <v>207.40238490208208</v>
      </c>
      <c r="W176" s="42">
        <v>1037</v>
      </c>
      <c r="X176" s="71">
        <v>1011.8166161987219</v>
      </c>
      <c r="Y176" s="60">
        <f t="shared" si="51"/>
        <v>1.0248892767702207</v>
      </c>
      <c r="Z176" s="60">
        <f t="shared" si="49"/>
        <v>2.4889276770220681E-2</v>
      </c>
      <c r="AA176" s="14"/>
    </row>
    <row r="177" spans="1:34" ht="15" customHeight="1" x14ac:dyDescent="0.2">
      <c r="A177" s="36" t="s">
        <v>520</v>
      </c>
      <c r="B177" s="27" t="s">
        <v>87</v>
      </c>
      <c r="C177" s="21">
        <v>942048</v>
      </c>
      <c r="D177" s="7">
        <v>1925</v>
      </c>
      <c r="E177" s="7">
        <v>30</v>
      </c>
      <c r="F177" s="8">
        <f t="shared" si="65"/>
        <v>244.6877922077922</v>
      </c>
      <c r="G177" s="33">
        <v>471732</v>
      </c>
      <c r="H177" s="7">
        <v>1925</v>
      </c>
      <c r="I177" s="7">
        <v>5</v>
      </c>
      <c r="J177" s="8">
        <f t="shared" si="66"/>
        <v>20.421298701298699</v>
      </c>
      <c r="K177" s="7">
        <v>0</v>
      </c>
      <c r="L177" s="7">
        <v>1</v>
      </c>
      <c r="M177" s="7">
        <v>0</v>
      </c>
      <c r="N177" s="75">
        <f t="shared" si="67"/>
        <v>0</v>
      </c>
      <c r="O177" s="75">
        <f t="shared" si="68"/>
        <v>265.10909090909092</v>
      </c>
      <c r="P177" s="75">
        <f t="shared" si="69"/>
        <v>80.062945454545456</v>
      </c>
      <c r="Q177" s="68">
        <f t="shared" si="70"/>
        <v>270.41127272727277</v>
      </c>
      <c r="R177" s="55">
        <f>17.02+3.16*2</f>
        <v>23.34</v>
      </c>
      <c r="S177" s="55">
        <v>23.34</v>
      </c>
      <c r="T177" s="78">
        <f t="shared" si="47"/>
        <v>23.34</v>
      </c>
      <c r="U177" s="9">
        <f t="shared" si="48"/>
        <v>638.92330909090913</v>
      </c>
      <c r="V177" s="75">
        <f t="shared" si="71"/>
        <v>159.73082727272728</v>
      </c>
      <c r="W177" s="42">
        <v>799</v>
      </c>
      <c r="X177" s="71">
        <v>795.76309558441562</v>
      </c>
      <c r="Y177" s="60">
        <f t="shared" si="51"/>
        <v>1.0040676734489768</v>
      </c>
      <c r="Z177" s="60">
        <f t="shared" si="49"/>
        <v>4.0676734489768496E-3</v>
      </c>
      <c r="AA177" s="14"/>
    </row>
    <row r="178" spans="1:34" ht="15" customHeight="1" x14ac:dyDescent="0.2">
      <c r="A178" s="36" t="s">
        <v>521</v>
      </c>
      <c r="B178" s="27" t="s">
        <v>28</v>
      </c>
      <c r="C178" s="21">
        <v>942048</v>
      </c>
      <c r="D178" s="7">
        <v>1925</v>
      </c>
      <c r="E178" s="7">
        <v>30</v>
      </c>
      <c r="F178" s="8">
        <f t="shared" si="65"/>
        <v>244.6877922077922</v>
      </c>
      <c r="G178" s="33">
        <v>471732</v>
      </c>
      <c r="H178" s="7">
        <v>1925</v>
      </c>
      <c r="I178" s="7">
        <v>22</v>
      </c>
      <c r="J178" s="8">
        <f t="shared" si="66"/>
        <v>89.853714285714275</v>
      </c>
      <c r="K178" s="7">
        <v>18530</v>
      </c>
      <c r="L178" s="7">
        <v>846720</v>
      </c>
      <c r="M178" s="7">
        <v>30</v>
      </c>
      <c r="N178" s="75">
        <f t="shared" si="67"/>
        <v>0.65653344671201819</v>
      </c>
      <c r="O178" s="75">
        <f t="shared" si="68"/>
        <v>335.19803994021851</v>
      </c>
      <c r="P178" s="75">
        <f t="shared" si="69"/>
        <v>101.22980806194599</v>
      </c>
      <c r="Q178" s="68">
        <f t="shared" si="70"/>
        <v>341.90200073902287</v>
      </c>
      <c r="R178" s="55">
        <f>17.02+1.54*2+9.95</f>
        <v>30.05</v>
      </c>
      <c r="S178" s="55">
        <v>30.05</v>
      </c>
      <c r="T178" s="78">
        <f>S178*2</f>
        <v>60.1</v>
      </c>
      <c r="U178" s="9">
        <f t="shared" si="48"/>
        <v>839.0863821878994</v>
      </c>
      <c r="V178" s="75">
        <f t="shared" si="71"/>
        <v>209.77159554697485</v>
      </c>
      <c r="W178" s="42">
        <v>1049</v>
      </c>
      <c r="X178" s="71">
        <v>1032.2518507218874</v>
      </c>
      <c r="Y178" s="60">
        <f t="shared" si="51"/>
        <v>1.0162248672805962</v>
      </c>
      <c r="Z178" s="60">
        <f t="shared" si="49"/>
        <v>1.6224867280596245E-2</v>
      </c>
      <c r="AA178" s="14"/>
    </row>
    <row r="179" spans="1:34" ht="15" customHeight="1" x14ac:dyDescent="0.2">
      <c r="A179" s="36" t="s">
        <v>522</v>
      </c>
      <c r="B179" s="27" t="s">
        <v>29</v>
      </c>
      <c r="C179" s="21">
        <v>942048</v>
      </c>
      <c r="D179" s="7">
        <v>1925</v>
      </c>
      <c r="E179" s="7">
        <v>30</v>
      </c>
      <c r="F179" s="8">
        <f t="shared" si="65"/>
        <v>244.6877922077922</v>
      </c>
      <c r="G179" s="33">
        <v>471732</v>
      </c>
      <c r="H179" s="7">
        <v>1925</v>
      </c>
      <c r="I179" s="7">
        <v>10</v>
      </c>
      <c r="J179" s="8">
        <f t="shared" si="66"/>
        <v>40.842597402597399</v>
      </c>
      <c r="K179" s="7">
        <v>5130</v>
      </c>
      <c r="L179" s="7">
        <v>846720</v>
      </c>
      <c r="M179" s="7">
        <v>20</v>
      </c>
      <c r="N179" s="75">
        <f t="shared" si="67"/>
        <v>0.1211734693877551</v>
      </c>
      <c r="O179" s="75">
        <f t="shared" si="68"/>
        <v>285.65156307977736</v>
      </c>
      <c r="P179" s="75">
        <f t="shared" si="69"/>
        <v>86.266772050092754</v>
      </c>
      <c r="Q179" s="68">
        <f t="shared" si="70"/>
        <v>291.36459434137294</v>
      </c>
      <c r="R179" s="55">
        <f>1.54*2+17.02</f>
        <v>20.100000000000001</v>
      </c>
      <c r="S179" s="55">
        <v>20.100000000000001</v>
      </c>
      <c r="T179" s="78">
        <f>S179*1</f>
        <v>20.100000000000001</v>
      </c>
      <c r="U179" s="9">
        <f t="shared" si="48"/>
        <v>683.50410294063079</v>
      </c>
      <c r="V179" s="75">
        <f t="shared" si="71"/>
        <v>170.8760257351577</v>
      </c>
      <c r="W179" s="42">
        <v>854</v>
      </c>
      <c r="X179" s="71">
        <v>847.16042062384065</v>
      </c>
      <c r="Y179" s="60">
        <f t="shared" si="51"/>
        <v>1.0080735350822017</v>
      </c>
      <c r="Z179" s="60">
        <f t="shared" si="49"/>
        <v>8.0735350822016549E-3</v>
      </c>
      <c r="AA179" s="14"/>
    </row>
    <row r="180" spans="1:34" ht="15" customHeight="1" x14ac:dyDescent="0.2">
      <c r="A180" s="36" t="s">
        <v>523</v>
      </c>
      <c r="B180" s="27" t="s">
        <v>133</v>
      </c>
      <c r="C180" s="21">
        <v>942048</v>
      </c>
      <c r="D180" s="7">
        <v>1925</v>
      </c>
      <c r="E180" s="7">
        <v>0</v>
      </c>
      <c r="F180" s="8">
        <f t="shared" ref="F180:F207" si="72">C180/D180/60*E180</f>
        <v>0</v>
      </c>
      <c r="G180" s="33">
        <v>471732</v>
      </c>
      <c r="H180" s="7">
        <v>1925</v>
      </c>
      <c r="I180" s="7">
        <v>25</v>
      </c>
      <c r="J180" s="8">
        <f t="shared" ref="J180:J207" si="73">G180/H180/60*I180</f>
        <v>102.10649350649351</v>
      </c>
      <c r="K180" s="7">
        <v>0</v>
      </c>
      <c r="L180" s="7">
        <v>1</v>
      </c>
      <c r="M180" s="7">
        <v>0</v>
      </c>
      <c r="N180" s="75">
        <f t="shared" ref="N180:N209" si="74">K180/L180*M180</f>
        <v>0</v>
      </c>
      <c r="O180" s="75">
        <f t="shared" ref="O180:O209" si="75">F180+J180+N180</f>
        <v>102.10649350649351</v>
      </c>
      <c r="P180" s="75">
        <f>O180*0.302</f>
        <v>30.836161038961038</v>
      </c>
      <c r="Q180" s="68">
        <f>(O180)*102%</f>
        <v>104.14862337662338</v>
      </c>
      <c r="R180" s="55">
        <f>17.02*8+3.16*8</f>
        <v>161.44</v>
      </c>
      <c r="S180" s="55">
        <v>161.44</v>
      </c>
      <c r="T180" s="78">
        <f t="shared" ref="T180:T238" si="76">S180*1</f>
        <v>161.44</v>
      </c>
      <c r="U180" s="9">
        <f t="shared" si="48"/>
        <v>398.53127792207795</v>
      </c>
      <c r="V180" s="75">
        <f t="shared" ref="V180:V207" si="77">U180*25%</f>
        <v>99.632819480519487</v>
      </c>
      <c r="W180" s="42">
        <v>498</v>
      </c>
      <c r="X180" s="71">
        <v>471.70204259740262</v>
      </c>
      <c r="Y180" s="60">
        <f t="shared" si="51"/>
        <v>1.0557512052688791</v>
      </c>
      <c r="Z180" s="60">
        <f t="shared" si="49"/>
        <v>5.5751205268879112E-2</v>
      </c>
      <c r="AA180" s="14"/>
    </row>
    <row r="181" spans="1:34" ht="15" customHeight="1" x14ac:dyDescent="0.2">
      <c r="A181" s="36" t="s">
        <v>524</v>
      </c>
      <c r="B181" s="27" t="s">
        <v>134</v>
      </c>
      <c r="C181" s="21">
        <v>942048</v>
      </c>
      <c r="D181" s="7">
        <v>1925</v>
      </c>
      <c r="E181" s="7">
        <v>7</v>
      </c>
      <c r="F181" s="8">
        <f t="shared" si="72"/>
        <v>57.093818181818179</v>
      </c>
      <c r="G181" s="33">
        <v>471732</v>
      </c>
      <c r="H181" s="7">
        <v>1925</v>
      </c>
      <c r="I181" s="7">
        <v>20</v>
      </c>
      <c r="J181" s="8">
        <f t="shared" si="73"/>
        <v>81.685194805194797</v>
      </c>
      <c r="K181" s="7">
        <v>0</v>
      </c>
      <c r="L181" s="7">
        <v>1</v>
      </c>
      <c r="M181" s="7">
        <v>0</v>
      </c>
      <c r="N181" s="75">
        <f t="shared" si="74"/>
        <v>0</v>
      </c>
      <c r="O181" s="75">
        <f t="shared" si="75"/>
        <v>138.77901298701298</v>
      </c>
      <c r="P181" s="75">
        <f>O181*0.302</f>
        <v>41.911261922077919</v>
      </c>
      <c r="Q181" s="68">
        <f t="shared" ref="Q181:Q209" si="78">(O181)*102%</f>
        <v>141.55459324675323</v>
      </c>
      <c r="R181" s="55">
        <f>17.02*8+3.16*8</f>
        <v>161.44</v>
      </c>
      <c r="S181" s="55">
        <v>161.44</v>
      </c>
      <c r="T181" s="78">
        <f t="shared" si="76"/>
        <v>161.44</v>
      </c>
      <c r="U181" s="9">
        <f t="shared" si="48"/>
        <v>483.68486815584413</v>
      </c>
      <c r="V181" s="75">
        <f t="shared" si="77"/>
        <v>120.92121703896103</v>
      </c>
      <c r="W181" s="42">
        <v>605</v>
      </c>
      <c r="X181" s="71">
        <v>588.82010389610389</v>
      </c>
      <c r="Y181" s="60">
        <f t="shared" si="51"/>
        <v>1.0274785048894171</v>
      </c>
      <c r="Z181" s="60">
        <f t="shared" si="49"/>
        <v>2.7478504889417055E-2</v>
      </c>
      <c r="AA181" s="14"/>
    </row>
    <row r="182" spans="1:34" s="47" customFormat="1" ht="15" customHeight="1" x14ac:dyDescent="0.2">
      <c r="A182" s="36" t="s">
        <v>897</v>
      </c>
      <c r="B182" s="27" t="s">
        <v>135</v>
      </c>
      <c r="C182" s="21">
        <v>942048</v>
      </c>
      <c r="D182" s="7">
        <v>1925</v>
      </c>
      <c r="E182" s="7">
        <v>10</v>
      </c>
      <c r="F182" s="8">
        <f t="shared" si="72"/>
        <v>81.562597402597405</v>
      </c>
      <c r="G182" s="33">
        <v>471732</v>
      </c>
      <c r="H182" s="7">
        <v>1925</v>
      </c>
      <c r="I182" s="7">
        <v>5</v>
      </c>
      <c r="J182" s="8">
        <f t="shared" si="73"/>
        <v>20.421298701298699</v>
      </c>
      <c r="K182" s="7">
        <v>2420625</v>
      </c>
      <c r="L182" s="7">
        <v>846720</v>
      </c>
      <c r="M182" s="7">
        <v>10</v>
      </c>
      <c r="N182" s="75">
        <f t="shared" si="74"/>
        <v>28.58825821995465</v>
      </c>
      <c r="O182" s="75">
        <f t="shared" si="75"/>
        <v>130.57215432385075</v>
      </c>
      <c r="P182" s="75">
        <f t="shared" ref="P182:P209" si="79">O182*0.302</f>
        <v>39.432790605802928</v>
      </c>
      <c r="Q182" s="68">
        <f t="shared" si="78"/>
        <v>133.18359741032776</v>
      </c>
      <c r="R182" s="55">
        <v>3.16</v>
      </c>
      <c r="S182" s="55">
        <v>3.16</v>
      </c>
      <c r="T182" s="78">
        <f t="shared" si="76"/>
        <v>3.16</v>
      </c>
      <c r="U182" s="9">
        <f t="shared" si="48"/>
        <v>334.9368005599361</v>
      </c>
      <c r="V182" s="75">
        <f t="shared" si="77"/>
        <v>83.734200139984026</v>
      </c>
      <c r="W182" s="42">
        <v>419</v>
      </c>
      <c r="X182" s="71">
        <v>403.05298745316691</v>
      </c>
      <c r="Y182" s="60">
        <f t="shared" si="51"/>
        <v>1.0395655485587638</v>
      </c>
      <c r="Z182" s="60">
        <f t="shared" si="49"/>
        <v>3.9565548558763819E-2</v>
      </c>
      <c r="AA182" s="14"/>
      <c r="AC182" s="16"/>
      <c r="AD182" s="5"/>
      <c r="AE182" s="5"/>
      <c r="AF182" s="5"/>
      <c r="AG182" s="5"/>
      <c r="AH182" s="5"/>
    </row>
    <row r="183" spans="1:34" s="47" customFormat="1" ht="15" customHeight="1" x14ac:dyDescent="0.2">
      <c r="A183" s="36" t="s">
        <v>525</v>
      </c>
      <c r="B183" s="27" t="s">
        <v>136</v>
      </c>
      <c r="C183" s="21">
        <v>942048</v>
      </c>
      <c r="D183" s="7">
        <v>1925</v>
      </c>
      <c r="E183" s="7">
        <v>15</v>
      </c>
      <c r="F183" s="8">
        <f t="shared" si="72"/>
        <v>122.3438961038961</v>
      </c>
      <c r="G183" s="33">
        <v>471732</v>
      </c>
      <c r="H183" s="7">
        <v>1925</v>
      </c>
      <c r="I183" s="7">
        <v>10</v>
      </c>
      <c r="J183" s="8">
        <f>G183/H183/60*I183</f>
        <v>40.842597402597399</v>
      </c>
      <c r="K183" s="7">
        <v>2420625</v>
      </c>
      <c r="L183" s="7">
        <v>846720</v>
      </c>
      <c r="M183" s="7">
        <v>18</v>
      </c>
      <c r="N183" s="75">
        <f t="shared" si="74"/>
        <v>51.458864795918373</v>
      </c>
      <c r="O183" s="75">
        <f t="shared" si="75"/>
        <v>214.64535830241186</v>
      </c>
      <c r="P183" s="75">
        <f t="shared" si="79"/>
        <v>64.822898207328379</v>
      </c>
      <c r="Q183" s="68">
        <f t="shared" si="78"/>
        <v>218.93826546846012</v>
      </c>
      <c r="R183" s="55">
        <v>3.16</v>
      </c>
      <c r="S183" s="55">
        <v>3.16</v>
      </c>
      <c r="T183" s="78">
        <f t="shared" si="76"/>
        <v>3.16</v>
      </c>
      <c r="U183" s="9">
        <f t="shared" si="48"/>
        <v>553.02538677411872</v>
      </c>
      <c r="V183" s="75">
        <f>U183*25%</f>
        <v>138.25634669352968</v>
      </c>
      <c r="W183" s="42">
        <v>691</v>
      </c>
      <c r="X183" s="71">
        <v>660.3906898312847</v>
      </c>
      <c r="Y183" s="60">
        <f t="shared" si="51"/>
        <v>1.046350305417745</v>
      </c>
      <c r="Z183" s="60">
        <f t="shared" si="49"/>
        <v>4.6350305417744986E-2</v>
      </c>
      <c r="AA183" s="14"/>
      <c r="AC183" s="16"/>
      <c r="AD183" s="5"/>
      <c r="AE183" s="5"/>
      <c r="AF183" s="5"/>
      <c r="AG183" s="5"/>
      <c r="AH183" s="5"/>
    </row>
    <row r="184" spans="1:34" s="47" customFormat="1" ht="15" customHeight="1" x14ac:dyDescent="0.2">
      <c r="A184" s="36" t="s">
        <v>898</v>
      </c>
      <c r="B184" s="73" t="s">
        <v>895</v>
      </c>
      <c r="C184" s="21">
        <v>942048</v>
      </c>
      <c r="D184" s="7">
        <v>1925</v>
      </c>
      <c r="E184" s="7">
        <v>4</v>
      </c>
      <c r="F184" s="8">
        <f t="shared" si="72"/>
        <v>32.62503896103896</v>
      </c>
      <c r="G184" s="33">
        <v>471732</v>
      </c>
      <c r="H184" s="7">
        <v>1925</v>
      </c>
      <c r="I184" s="7">
        <v>25</v>
      </c>
      <c r="J184" s="8">
        <f t="shared" si="73"/>
        <v>102.10649350649351</v>
      </c>
      <c r="K184" s="7">
        <v>194823</v>
      </c>
      <c r="L184" s="7">
        <v>846720</v>
      </c>
      <c r="M184" s="7">
        <v>15</v>
      </c>
      <c r="N184" s="75">
        <f t="shared" si="74"/>
        <v>3.4513711734693877</v>
      </c>
      <c r="O184" s="75">
        <f t="shared" si="75"/>
        <v>138.18290364100187</v>
      </c>
      <c r="P184" s="75">
        <f t="shared" si="79"/>
        <v>41.731236899582562</v>
      </c>
      <c r="Q184" s="68">
        <f t="shared" si="78"/>
        <v>140.94656171382192</v>
      </c>
      <c r="R184" s="55">
        <f>17.02+3.16</f>
        <v>20.18</v>
      </c>
      <c r="S184" s="55">
        <v>20.18</v>
      </c>
      <c r="T184" s="78">
        <f t="shared" si="76"/>
        <v>20.18</v>
      </c>
      <c r="U184" s="9">
        <f t="shared" si="48"/>
        <v>344.49207342787577</v>
      </c>
      <c r="V184" s="75">
        <f t="shared" si="77"/>
        <v>86.123018356968942</v>
      </c>
      <c r="W184" s="42">
        <v>431</v>
      </c>
      <c r="X184" s="71">
        <v>424.66021723939014</v>
      </c>
      <c r="Y184" s="60">
        <f t="shared" si="51"/>
        <v>1.0149290715335268</v>
      </c>
      <c r="Z184" s="60">
        <f t="shared" si="49"/>
        <v>1.492907153352685E-2</v>
      </c>
      <c r="AA184" s="14"/>
      <c r="AC184" s="16"/>
      <c r="AD184" s="5"/>
      <c r="AE184" s="5"/>
      <c r="AF184" s="5"/>
      <c r="AG184" s="5"/>
      <c r="AH184" s="5"/>
    </row>
    <row r="185" spans="1:34" s="47" customFormat="1" ht="15" customHeight="1" x14ac:dyDescent="0.2">
      <c r="A185" s="36" t="s">
        <v>899</v>
      </c>
      <c r="B185" s="73" t="s">
        <v>896</v>
      </c>
      <c r="C185" s="21">
        <v>942048</v>
      </c>
      <c r="D185" s="7">
        <v>1925</v>
      </c>
      <c r="E185" s="7">
        <v>20</v>
      </c>
      <c r="F185" s="8">
        <f t="shared" si="72"/>
        <v>163.12519480519481</v>
      </c>
      <c r="G185" s="33">
        <v>471732</v>
      </c>
      <c r="H185" s="7">
        <v>1925</v>
      </c>
      <c r="I185" s="7">
        <v>17</v>
      </c>
      <c r="J185" s="8">
        <f t="shared" si="73"/>
        <v>69.43241558441558</v>
      </c>
      <c r="K185" s="7">
        <v>194823</v>
      </c>
      <c r="L185" s="7">
        <v>846720</v>
      </c>
      <c r="M185" s="7">
        <v>25</v>
      </c>
      <c r="N185" s="75">
        <f t="shared" si="74"/>
        <v>5.7522852891156457</v>
      </c>
      <c r="O185" s="75">
        <f t="shared" si="75"/>
        <v>238.30989567872601</v>
      </c>
      <c r="P185" s="75">
        <f t="shared" si="79"/>
        <v>71.969588494975255</v>
      </c>
      <c r="Q185" s="68">
        <f t="shared" si="78"/>
        <v>243.07609359230054</v>
      </c>
      <c r="R185" s="55">
        <v>3.16</v>
      </c>
      <c r="S185" s="55">
        <v>3.16</v>
      </c>
      <c r="T185" s="78">
        <f t="shared" si="76"/>
        <v>3.16</v>
      </c>
      <c r="U185" s="9">
        <f t="shared" si="48"/>
        <v>562.26786305511735</v>
      </c>
      <c r="V185" s="75">
        <f t="shared" si="77"/>
        <v>140.56696576377934</v>
      </c>
      <c r="W185" s="42">
        <v>703</v>
      </c>
      <c r="X185" s="71">
        <v>701.90150544227345</v>
      </c>
      <c r="Y185" s="60">
        <f t="shared" si="51"/>
        <v>1.0015650266443501</v>
      </c>
      <c r="Z185" s="60">
        <f t="shared" si="49"/>
        <v>1.5650266443500982E-3</v>
      </c>
      <c r="AA185" s="14"/>
      <c r="AC185" s="16"/>
      <c r="AD185" s="5"/>
      <c r="AE185" s="5"/>
      <c r="AF185" s="5"/>
      <c r="AG185" s="5"/>
      <c r="AH185" s="5"/>
    </row>
    <row r="186" spans="1:34" s="47" customFormat="1" ht="15" customHeight="1" x14ac:dyDescent="0.2">
      <c r="A186" s="36" t="s">
        <v>900</v>
      </c>
      <c r="B186" s="27" t="s">
        <v>137</v>
      </c>
      <c r="C186" s="21">
        <v>942048</v>
      </c>
      <c r="D186" s="7">
        <v>1925</v>
      </c>
      <c r="E186" s="7">
        <v>30</v>
      </c>
      <c r="F186" s="8">
        <f t="shared" si="72"/>
        <v>244.6877922077922</v>
      </c>
      <c r="G186" s="33">
        <v>471732</v>
      </c>
      <c r="H186" s="7">
        <v>1925</v>
      </c>
      <c r="I186" s="7">
        <v>40</v>
      </c>
      <c r="J186" s="8">
        <f>G186/H186/60*I186</f>
        <v>163.37038961038959</v>
      </c>
      <c r="K186" s="7">
        <v>3600000</v>
      </c>
      <c r="L186" s="7">
        <v>846720</v>
      </c>
      <c r="M186" s="7">
        <v>43</v>
      </c>
      <c r="N186" s="75">
        <f t="shared" si="74"/>
        <v>182.82312925170066</v>
      </c>
      <c r="O186" s="75">
        <f t="shared" si="75"/>
        <v>590.88131106988249</v>
      </c>
      <c r="P186" s="75">
        <f t="shared" si="79"/>
        <v>178.44615594310451</v>
      </c>
      <c r="Q186" s="68">
        <f t="shared" si="78"/>
        <v>602.69893729128012</v>
      </c>
      <c r="R186" s="55">
        <v>3.16</v>
      </c>
      <c r="S186" s="55">
        <v>3.16</v>
      </c>
      <c r="T186" s="78">
        <f t="shared" si="76"/>
        <v>3.16</v>
      </c>
      <c r="U186" s="9">
        <f t="shared" si="48"/>
        <v>1558.0095335559679</v>
      </c>
      <c r="V186" s="75">
        <f>U186*25%</f>
        <v>389.50238338899197</v>
      </c>
      <c r="W186" s="42">
        <v>1948</v>
      </c>
      <c r="X186" s="71">
        <v>1913.9098629189859</v>
      </c>
      <c r="Y186" s="60">
        <f t="shared" si="51"/>
        <v>1.0178117777338906</v>
      </c>
      <c r="Z186" s="60">
        <f t="shared" si="49"/>
        <v>1.7811777733890644E-2</v>
      </c>
      <c r="AA186" s="14"/>
      <c r="AC186" s="16"/>
      <c r="AD186" s="5"/>
      <c r="AE186" s="5"/>
      <c r="AF186" s="5"/>
      <c r="AG186" s="5"/>
      <c r="AH186" s="5"/>
    </row>
    <row r="187" spans="1:34" s="47" customFormat="1" ht="15" customHeight="1" x14ac:dyDescent="0.2">
      <c r="A187" s="36" t="s">
        <v>526</v>
      </c>
      <c r="B187" s="27" t="s">
        <v>336</v>
      </c>
      <c r="C187" s="21">
        <v>942048</v>
      </c>
      <c r="D187" s="7">
        <v>1925</v>
      </c>
      <c r="E187" s="7">
        <v>30</v>
      </c>
      <c r="F187" s="8">
        <f t="shared" si="72"/>
        <v>244.6877922077922</v>
      </c>
      <c r="G187" s="33">
        <v>471732</v>
      </c>
      <c r="H187" s="7">
        <v>1925</v>
      </c>
      <c r="I187" s="7">
        <v>30</v>
      </c>
      <c r="J187" s="8">
        <f>G187/H187/60*I187</f>
        <v>122.5277922077922</v>
      </c>
      <c r="K187" s="7">
        <v>223000</v>
      </c>
      <c r="L187" s="7">
        <v>846720</v>
      </c>
      <c r="M187" s="7">
        <v>40</v>
      </c>
      <c r="N187" s="75">
        <f t="shared" si="74"/>
        <v>10.534769463340892</v>
      </c>
      <c r="O187" s="75">
        <f t="shared" si="75"/>
        <v>377.7503538789253</v>
      </c>
      <c r="P187" s="75">
        <f t="shared" si="79"/>
        <v>114.08060687143544</v>
      </c>
      <c r="Q187" s="68">
        <f t="shared" si="78"/>
        <v>385.30536095650382</v>
      </c>
      <c r="R187" s="55">
        <f>1.54*2</f>
        <v>3.08</v>
      </c>
      <c r="S187" s="55">
        <v>3.08</v>
      </c>
      <c r="T187" s="78">
        <f t="shared" si="76"/>
        <v>3.08</v>
      </c>
      <c r="U187" s="9">
        <f t="shared" si="48"/>
        <v>890.75109117020543</v>
      </c>
      <c r="V187" s="75">
        <f>U187*25%</f>
        <v>222.68777279255136</v>
      </c>
      <c r="W187" s="42">
        <v>1113</v>
      </c>
      <c r="X187" s="71">
        <v>1076.6336561705491</v>
      </c>
      <c r="Y187" s="60">
        <f t="shared" si="51"/>
        <v>1.0337778255593471</v>
      </c>
      <c r="Z187" s="60">
        <f t="shared" si="49"/>
        <v>3.3777825559347052E-2</v>
      </c>
      <c r="AA187" s="14"/>
      <c r="AC187" s="16"/>
      <c r="AD187" s="5"/>
      <c r="AE187" s="5"/>
      <c r="AF187" s="5"/>
      <c r="AG187" s="5"/>
      <c r="AH187" s="5"/>
    </row>
    <row r="188" spans="1:34" s="47" customFormat="1" ht="15" customHeight="1" x14ac:dyDescent="0.2">
      <c r="A188" s="36" t="s">
        <v>527</v>
      </c>
      <c r="B188" s="27" t="s">
        <v>153</v>
      </c>
      <c r="C188" s="21">
        <v>942048</v>
      </c>
      <c r="D188" s="7">
        <v>1925</v>
      </c>
      <c r="E188" s="7">
        <v>15</v>
      </c>
      <c r="F188" s="8">
        <f t="shared" si="72"/>
        <v>122.3438961038961</v>
      </c>
      <c r="G188" s="33">
        <v>471732</v>
      </c>
      <c r="H188" s="7">
        <v>1925</v>
      </c>
      <c r="I188" s="7">
        <v>5</v>
      </c>
      <c r="J188" s="8">
        <f t="shared" si="73"/>
        <v>20.421298701298699</v>
      </c>
      <c r="K188" s="7">
        <v>3600000</v>
      </c>
      <c r="L188" s="7">
        <v>846720</v>
      </c>
      <c r="M188" s="7">
        <v>15</v>
      </c>
      <c r="N188" s="75">
        <f t="shared" si="74"/>
        <v>63.775510204081627</v>
      </c>
      <c r="O188" s="75">
        <f t="shared" si="75"/>
        <v>206.54070500927642</v>
      </c>
      <c r="P188" s="75">
        <f t="shared" si="79"/>
        <v>62.375292912801477</v>
      </c>
      <c r="Q188" s="68">
        <f t="shared" si="78"/>
        <v>210.67151910946197</v>
      </c>
      <c r="R188" s="55">
        <f>1.54*2+3.16*3</f>
        <v>12.56</v>
      </c>
      <c r="S188" s="55">
        <v>12.56</v>
      </c>
      <c r="T188" s="78">
        <f t="shared" si="76"/>
        <v>12.56</v>
      </c>
      <c r="U188" s="9">
        <f t="shared" si="48"/>
        <v>555.92302723562148</v>
      </c>
      <c r="V188" s="75">
        <f t="shared" si="77"/>
        <v>138.98075680890537</v>
      </c>
      <c r="W188" s="42">
        <v>695</v>
      </c>
      <c r="X188" s="71">
        <v>663.82185391465669</v>
      </c>
      <c r="Y188" s="60">
        <f t="shared" si="51"/>
        <v>1.0469676403412771</v>
      </c>
      <c r="Z188" s="60">
        <f t="shared" si="49"/>
        <v>4.6967640341277095E-2</v>
      </c>
      <c r="AA188" s="14"/>
      <c r="AC188" s="16"/>
      <c r="AD188" s="5"/>
      <c r="AE188" s="5"/>
      <c r="AF188" s="5"/>
      <c r="AG188" s="5"/>
      <c r="AH188" s="5"/>
    </row>
    <row r="189" spans="1:34" s="47" customFormat="1" ht="15" customHeight="1" x14ac:dyDescent="0.2">
      <c r="A189" s="36" t="s">
        <v>528</v>
      </c>
      <c r="B189" s="27" t="s">
        <v>154</v>
      </c>
      <c r="C189" s="21">
        <v>942048</v>
      </c>
      <c r="D189" s="7">
        <v>1925</v>
      </c>
      <c r="E189" s="7">
        <v>20</v>
      </c>
      <c r="F189" s="8">
        <f t="shared" si="72"/>
        <v>163.12519480519481</v>
      </c>
      <c r="G189" s="33">
        <v>471732</v>
      </c>
      <c r="H189" s="7">
        <v>1925</v>
      </c>
      <c r="I189" s="7">
        <v>20</v>
      </c>
      <c r="J189" s="8">
        <f t="shared" si="73"/>
        <v>81.685194805194797</v>
      </c>
      <c r="K189" s="7">
        <v>3600000</v>
      </c>
      <c r="L189" s="7">
        <v>846720</v>
      </c>
      <c r="M189" s="7">
        <v>20</v>
      </c>
      <c r="N189" s="75">
        <f t="shared" si="74"/>
        <v>85.034013605442169</v>
      </c>
      <c r="O189" s="75">
        <f t="shared" si="75"/>
        <v>329.84440321583179</v>
      </c>
      <c r="P189" s="75">
        <f t="shared" si="79"/>
        <v>99.613009771181197</v>
      </c>
      <c r="Q189" s="68">
        <f t="shared" si="78"/>
        <v>336.44129128014845</v>
      </c>
      <c r="R189" s="55">
        <f>1.54*2+3.16*3</f>
        <v>12.56</v>
      </c>
      <c r="S189" s="55">
        <v>12.56</v>
      </c>
      <c r="T189" s="78">
        <f t="shared" si="76"/>
        <v>12.56</v>
      </c>
      <c r="U189" s="9">
        <f t="shared" si="48"/>
        <v>863.49271787260352</v>
      </c>
      <c r="V189" s="75">
        <f t="shared" si="77"/>
        <v>215.87317946815088</v>
      </c>
      <c r="W189" s="42">
        <v>1079</v>
      </c>
      <c r="X189" s="71">
        <v>1045.6902630550403</v>
      </c>
      <c r="Y189" s="60">
        <f t="shared" si="51"/>
        <v>1.0318543053539042</v>
      </c>
      <c r="Z189" s="60">
        <f t="shared" si="49"/>
        <v>3.1854305353904211E-2</v>
      </c>
      <c r="AA189" s="14"/>
      <c r="AC189" s="16"/>
      <c r="AD189" s="5"/>
      <c r="AE189" s="5"/>
      <c r="AF189" s="5"/>
      <c r="AG189" s="5"/>
      <c r="AH189" s="5"/>
    </row>
    <row r="190" spans="1:34" s="47" customFormat="1" ht="15" customHeight="1" x14ac:dyDescent="0.2">
      <c r="A190" s="36" t="s">
        <v>529</v>
      </c>
      <c r="B190" s="27" t="s">
        <v>338</v>
      </c>
      <c r="C190" s="21">
        <v>942048</v>
      </c>
      <c r="D190" s="7">
        <v>1925</v>
      </c>
      <c r="E190" s="7">
        <v>12</v>
      </c>
      <c r="F190" s="8">
        <f t="shared" si="72"/>
        <v>97.875116883116874</v>
      </c>
      <c r="G190" s="33">
        <v>471732</v>
      </c>
      <c r="H190" s="7">
        <v>1925</v>
      </c>
      <c r="I190" s="7">
        <v>10</v>
      </c>
      <c r="J190" s="8">
        <f t="shared" si="73"/>
        <v>40.842597402597399</v>
      </c>
      <c r="K190" s="7">
        <v>4788</v>
      </c>
      <c r="L190" s="7">
        <v>846720</v>
      </c>
      <c r="M190" s="7">
        <v>15</v>
      </c>
      <c r="N190" s="75">
        <f t="shared" si="74"/>
        <v>8.4821428571428575E-2</v>
      </c>
      <c r="O190" s="75">
        <f t="shared" si="75"/>
        <v>138.80253571428568</v>
      </c>
      <c r="P190" s="75">
        <f t="shared" si="79"/>
        <v>41.918365785714272</v>
      </c>
      <c r="Q190" s="68">
        <f t="shared" si="78"/>
        <v>141.57858642857138</v>
      </c>
      <c r="R190" s="55">
        <f t="shared" ref="R190:R209" si="80">17.02+0.57*6</f>
        <v>20.439999999999998</v>
      </c>
      <c r="S190" s="55">
        <v>20.439999999999998</v>
      </c>
      <c r="T190" s="78">
        <f t="shared" si="76"/>
        <v>20.439999999999998</v>
      </c>
      <c r="U190" s="9">
        <f t="shared" si="48"/>
        <v>342.82430935714274</v>
      </c>
      <c r="V190" s="75">
        <f t="shared" si="77"/>
        <v>85.706077339285685</v>
      </c>
      <c r="W190" s="42">
        <v>429</v>
      </c>
      <c r="X190" s="71">
        <v>416.7557357873377</v>
      </c>
      <c r="Y190" s="60">
        <f t="shared" si="51"/>
        <v>1.0293799536784547</v>
      </c>
      <c r="Z190" s="60">
        <f t="shared" ref="Z190:Z249" si="81">Y190-100%</f>
        <v>2.9379953678454696E-2</v>
      </c>
      <c r="AA190" s="14"/>
      <c r="AC190" s="16"/>
      <c r="AD190" s="5"/>
      <c r="AE190" s="5"/>
      <c r="AF190" s="5"/>
      <c r="AG190" s="5"/>
      <c r="AH190" s="5"/>
    </row>
    <row r="191" spans="1:34" s="47" customFormat="1" ht="15" customHeight="1" x14ac:dyDescent="0.2">
      <c r="A191" s="36" t="s">
        <v>530</v>
      </c>
      <c r="B191" s="27" t="s">
        <v>339</v>
      </c>
      <c r="C191" s="21">
        <v>942048</v>
      </c>
      <c r="D191" s="7">
        <v>1925</v>
      </c>
      <c r="E191" s="7">
        <v>16</v>
      </c>
      <c r="F191" s="8">
        <f t="shared" si="72"/>
        <v>130.50015584415584</v>
      </c>
      <c r="G191" s="33">
        <v>471732</v>
      </c>
      <c r="H191" s="7">
        <v>1925</v>
      </c>
      <c r="I191" s="7">
        <v>20</v>
      </c>
      <c r="J191" s="8">
        <f t="shared" si="73"/>
        <v>81.685194805194797</v>
      </c>
      <c r="K191" s="7">
        <v>4788</v>
      </c>
      <c r="L191" s="7">
        <v>846720</v>
      </c>
      <c r="M191" s="7">
        <v>18</v>
      </c>
      <c r="N191" s="75">
        <f t="shared" si="74"/>
        <v>0.10178571428571428</v>
      </c>
      <c r="O191" s="75">
        <f>F191+J191+N191</f>
        <v>212.28713636363636</v>
      </c>
      <c r="P191" s="75">
        <f>O191*0.302</f>
        <v>64.110715181818179</v>
      </c>
      <c r="Q191" s="68">
        <f t="shared" si="78"/>
        <v>216.53287909090909</v>
      </c>
      <c r="R191" s="55">
        <f t="shared" si="80"/>
        <v>20.439999999999998</v>
      </c>
      <c r="S191" s="55">
        <v>20.439999999999998</v>
      </c>
      <c r="T191" s="78">
        <f t="shared" si="76"/>
        <v>20.439999999999998</v>
      </c>
      <c r="U191" s="9">
        <f t="shared" si="48"/>
        <v>513.47251635064936</v>
      </c>
      <c r="V191" s="75">
        <f t="shared" si="77"/>
        <v>128.36812908766234</v>
      </c>
      <c r="W191" s="42">
        <v>642</v>
      </c>
      <c r="X191" s="71">
        <v>628.27654673701295</v>
      </c>
      <c r="Y191" s="60">
        <f t="shared" si="51"/>
        <v>1.0218430137719776</v>
      </c>
      <c r="Z191" s="60">
        <f t="shared" si="81"/>
        <v>2.1843013771977615E-2</v>
      </c>
      <c r="AA191" s="14"/>
      <c r="AC191" s="16"/>
      <c r="AD191" s="5"/>
      <c r="AE191" s="5"/>
      <c r="AF191" s="5"/>
      <c r="AG191" s="5"/>
      <c r="AH191" s="5"/>
    </row>
    <row r="192" spans="1:34" s="47" customFormat="1" ht="15" customHeight="1" x14ac:dyDescent="0.2">
      <c r="A192" s="36" t="s">
        <v>901</v>
      </c>
      <c r="B192" s="27" t="s">
        <v>340</v>
      </c>
      <c r="C192" s="21">
        <v>942048</v>
      </c>
      <c r="D192" s="7">
        <v>1925</v>
      </c>
      <c r="E192" s="7">
        <v>15</v>
      </c>
      <c r="F192" s="8">
        <f t="shared" si="72"/>
        <v>122.3438961038961</v>
      </c>
      <c r="G192" s="33">
        <v>471732</v>
      </c>
      <c r="H192" s="7">
        <v>1925</v>
      </c>
      <c r="I192" s="7">
        <v>15</v>
      </c>
      <c r="J192" s="8">
        <f t="shared" si="73"/>
        <v>61.263896103896101</v>
      </c>
      <c r="K192" s="7">
        <v>4788</v>
      </c>
      <c r="L192" s="7">
        <v>846720</v>
      </c>
      <c r="M192" s="7">
        <v>18</v>
      </c>
      <c r="N192" s="75">
        <f t="shared" si="74"/>
        <v>0.10178571428571428</v>
      </c>
      <c r="O192" s="75">
        <f t="shared" si="75"/>
        <v>183.70957792207793</v>
      </c>
      <c r="P192" s="75">
        <f t="shared" si="79"/>
        <v>55.48029253246753</v>
      </c>
      <c r="Q192" s="68">
        <f t="shared" si="78"/>
        <v>187.38376948051948</v>
      </c>
      <c r="R192" s="55">
        <f t="shared" si="80"/>
        <v>20.439999999999998</v>
      </c>
      <c r="S192" s="55">
        <v>20.439999999999998</v>
      </c>
      <c r="T192" s="78">
        <f t="shared" si="76"/>
        <v>20.439999999999998</v>
      </c>
      <c r="U192" s="9">
        <f t="shared" ref="U192:U251" si="82">N192+O192+P192+Q192+T192</f>
        <v>447.11542564935064</v>
      </c>
      <c r="V192" s="75">
        <f t="shared" si="77"/>
        <v>111.77885641233766</v>
      </c>
      <c r="W192" s="42">
        <v>559</v>
      </c>
      <c r="X192" s="71">
        <v>540.4916781655844</v>
      </c>
      <c r="Y192" s="60">
        <f t="shared" si="51"/>
        <v>1.0342434908475047</v>
      </c>
      <c r="Z192" s="60">
        <f t="shared" si="81"/>
        <v>3.4243490847504665E-2</v>
      </c>
      <c r="AA192" s="14"/>
      <c r="AC192" s="16"/>
      <c r="AD192" s="5"/>
      <c r="AE192" s="5"/>
      <c r="AF192" s="5"/>
      <c r="AG192" s="5"/>
      <c r="AH192" s="5"/>
    </row>
    <row r="193" spans="1:34" s="47" customFormat="1" ht="15" customHeight="1" x14ac:dyDescent="0.2">
      <c r="A193" s="36" t="s">
        <v>531</v>
      </c>
      <c r="B193" s="27" t="s">
        <v>337</v>
      </c>
      <c r="C193" s="21">
        <v>942048</v>
      </c>
      <c r="D193" s="7">
        <v>1925</v>
      </c>
      <c r="E193" s="7">
        <v>15</v>
      </c>
      <c r="F193" s="8">
        <f t="shared" si="72"/>
        <v>122.3438961038961</v>
      </c>
      <c r="G193" s="33">
        <v>471732</v>
      </c>
      <c r="H193" s="7">
        <v>1925</v>
      </c>
      <c r="I193" s="7">
        <v>15</v>
      </c>
      <c r="J193" s="8">
        <f t="shared" si="73"/>
        <v>61.263896103896101</v>
      </c>
      <c r="K193" s="7">
        <v>4788</v>
      </c>
      <c r="L193" s="7">
        <v>846720</v>
      </c>
      <c r="M193" s="7">
        <v>18</v>
      </c>
      <c r="N193" s="75">
        <f t="shared" si="74"/>
        <v>0.10178571428571428</v>
      </c>
      <c r="O193" s="75">
        <f>F193+J193+N193</f>
        <v>183.70957792207793</v>
      </c>
      <c r="P193" s="75">
        <f>O193*0.302</f>
        <v>55.48029253246753</v>
      </c>
      <c r="Q193" s="68">
        <f t="shared" si="78"/>
        <v>187.38376948051948</v>
      </c>
      <c r="R193" s="55">
        <f t="shared" si="80"/>
        <v>20.439999999999998</v>
      </c>
      <c r="S193" s="55">
        <v>20.439999999999998</v>
      </c>
      <c r="T193" s="78">
        <f t="shared" si="76"/>
        <v>20.439999999999998</v>
      </c>
      <c r="U193" s="9">
        <f t="shared" si="82"/>
        <v>447.11542564935064</v>
      </c>
      <c r="V193" s="75">
        <f t="shared" si="77"/>
        <v>111.77885641233766</v>
      </c>
      <c r="W193" s="42">
        <v>559</v>
      </c>
      <c r="X193" s="71">
        <v>540.4916781655844</v>
      </c>
      <c r="Y193" s="60">
        <f t="shared" si="51"/>
        <v>1.0342434908475047</v>
      </c>
      <c r="Z193" s="60">
        <f t="shared" si="81"/>
        <v>3.4243490847504665E-2</v>
      </c>
      <c r="AA193" s="14"/>
      <c r="AC193" s="16"/>
      <c r="AD193" s="5"/>
      <c r="AE193" s="5"/>
      <c r="AF193" s="5"/>
      <c r="AG193" s="5"/>
      <c r="AH193" s="5"/>
    </row>
    <row r="194" spans="1:34" s="47" customFormat="1" ht="15" customHeight="1" x14ac:dyDescent="0.2">
      <c r="A194" s="36" t="s">
        <v>532</v>
      </c>
      <c r="B194" s="27" t="s">
        <v>138</v>
      </c>
      <c r="C194" s="21">
        <v>942048</v>
      </c>
      <c r="D194" s="7">
        <v>1925</v>
      </c>
      <c r="E194" s="7">
        <v>12</v>
      </c>
      <c r="F194" s="8">
        <f t="shared" si="72"/>
        <v>97.875116883116874</v>
      </c>
      <c r="G194" s="33">
        <v>471732</v>
      </c>
      <c r="H194" s="7">
        <v>1925</v>
      </c>
      <c r="I194" s="7">
        <v>10</v>
      </c>
      <c r="J194" s="8">
        <f t="shared" si="73"/>
        <v>40.842597402597399</v>
      </c>
      <c r="K194" s="7">
        <v>45600</v>
      </c>
      <c r="L194" s="7">
        <v>846720</v>
      </c>
      <c r="M194" s="7">
        <v>15</v>
      </c>
      <c r="N194" s="75">
        <f t="shared" si="74"/>
        <v>0.80782312925170074</v>
      </c>
      <c r="O194" s="75">
        <f t="shared" si="75"/>
        <v>139.52553741496595</v>
      </c>
      <c r="P194" s="75">
        <f t="shared" si="79"/>
        <v>42.136712299319719</v>
      </c>
      <c r="Q194" s="68">
        <f t="shared" si="78"/>
        <v>142.31604816326526</v>
      </c>
      <c r="R194" s="55">
        <f t="shared" si="80"/>
        <v>20.439999999999998</v>
      </c>
      <c r="S194" s="55">
        <v>20.439999999999998</v>
      </c>
      <c r="T194" s="78">
        <f t="shared" si="76"/>
        <v>20.439999999999998</v>
      </c>
      <c r="U194" s="9">
        <f t="shared" si="82"/>
        <v>345.22612100680266</v>
      </c>
      <c r="V194" s="75">
        <f t="shared" si="77"/>
        <v>86.306530251700664</v>
      </c>
      <c r="W194" s="42">
        <v>432</v>
      </c>
      <c r="X194" s="71">
        <v>419.75800034941244</v>
      </c>
      <c r="Y194" s="60">
        <f t="shared" si="51"/>
        <v>1.0291644224538834</v>
      </c>
      <c r="Z194" s="60">
        <f t="shared" si="81"/>
        <v>2.9164422453883398E-2</v>
      </c>
      <c r="AA194" s="14"/>
      <c r="AC194" s="16"/>
      <c r="AD194" s="5"/>
      <c r="AE194" s="5"/>
      <c r="AF194" s="5"/>
      <c r="AG194" s="5"/>
      <c r="AH194" s="5"/>
    </row>
    <row r="195" spans="1:34" s="47" customFormat="1" ht="15" customHeight="1" x14ac:dyDescent="0.2">
      <c r="A195" s="36" t="s">
        <v>533</v>
      </c>
      <c r="B195" s="27" t="s">
        <v>139</v>
      </c>
      <c r="C195" s="21">
        <v>942048</v>
      </c>
      <c r="D195" s="7">
        <v>1925</v>
      </c>
      <c r="E195" s="7">
        <v>11</v>
      </c>
      <c r="F195" s="8">
        <f t="shared" si="72"/>
        <v>89.718857142857146</v>
      </c>
      <c r="G195" s="33">
        <v>471732</v>
      </c>
      <c r="H195" s="7">
        <v>1925</v>
      </c>
      <c r="I195" s="7">
        <v>13</v>
      </c>
      <c r="J195" s="8">
        <f t="shared" si="73"/>
        <v>53.095376623376623</v>
      </c>
      <c r="K195" s="7">
        <v>4788</v>
      </c>
      <c r="L195" s="7">
        <v>846720</v>
      </c>
      <c r="M195" s="7">
        <v>18</v>
      </c>
      <c r="N195" s="75">
        <f t="shared" si="74"/>
        <v>0.10178571428571428</v>
      </c>
      <c r="O195" s="75">
        <f t="shared" si="75"/>
        <v>142.91601948051948</v>
      </c>
      <c r="P195" s="75">
        <f t="shared" si="79"/>
        <v>43.160637883116884</v>
      </c>
      <c r="Q195" s="68">
        <f t="shared" si="78"/>
        <v>145.77433987012986</v>
      </c>
      <c r="R195" s="55">
        <f t="shared" si="80"/>
        <v>20.439999999999998</v>
      </c>
      <c r="S195" s="55">
        <v>20.439999999999998</v>
      </c>
      <c r="T195" s="78">
        <f t="shared" si="76"/>
        <v>20.439999999999998</v>
      </c>
      <c r="U195" s="9">
        <f t="shared" si="82"/>
        <v>352.39278294805194</v>
      </c>
      <c r="V195" s="75">
        <f t="shared" si="77"/>
        <v>88.098195737012986</v>
      </c>
      <c r="W195" s="42">
        <v>440</v>
      </c>
      <c r="X195" s="71">
        <v>430.0284085551948</v>
      </c>
      <c r="Y195" s="60">
        <f t="shared" si="51"/>
        <v>1.0231882155839602</v>
      </c>
      <c r="Z195" s="60">
        <f t="shared" si="81"/>
        <v>2.3188215583960226E-2</v>
      </c>
      <c r="AA195" s="14"/>
      <c r="AC195" s="16"/>
      <c r="AD195" s="5"/>
      <c r="AE195" s="5"/>
      <c r="AF195" s="5"/>
      <c r="AG195" s="5"/>
      <c r="AH195" s="5"/>
    </row>
    <row r="196" spans="1:34" s="47" customFormat="1" ht="15" customHeight="1" x14ac:dyDescent="0.2">
      <c r="A196" s="36" t="s">
        <v>534</v>
      </c>
      <c r="B196" s="27" t="s">
        <v>140</v>
      </c>
      <c r="C196" s="21">
        <v>942048</v>
      </c>
      <c r="D196" s="7">
        <v>1925</v>
      </c>
      <c r="E196" s="7">
        <v>18</v>
      </c>
      <c r="F196" s="8">
        <f t="shared" si="72"/>
        <v>146.81267532467533</v>
      </c>
      <c r="G196" s="33">
        <v>471732</v>
      </c>
      <c r="H196" s="7">
        <v>1925</v>
      </c>
      <c r="I196" s="7">
        <v>20</v>
      </c>
      <c r="J196" s="8">
        <f t="shared" si="73"/>
        <v>81.685194805194797</v>
      </c>
      <c r="K196" s="7">
        <v>4788</v>
      </c>
      <c r="L196" s="7">
        <v>846720</v>
      </c>
      <c r="M196" s="7">
        <v>30</v>
      </c>
      <c r="N196" s="75">
        <f t="shared" si="74"/>
        <v>0.16964285714285715</v>
      </c>
      <c r="O196" s="75">
        <f t="shared" si="75"/>
        <v>228.667512987013</v>
      </c>
      <c r="P196" s="75">
        <f t="shared" si="79"/>
        <v>69.057588922077926</v>
      </c>
      <c r="Q196" s="68">
        <f t="shared" si="78"/>
        <v>233.24086324675326</v>
      </c>
      <c r="R196" s="55">
        <f t="shared" si="80"/>
        <v>20.439999999999998</v>
      </c>
      <c r="S196" s="55">
        <v>20.439999999999998</v>
      </c>
      <c r="T196" s="78">
        <f t="shared" si="76"/>
        <v>20.439999999999998</v>
      </c>
      <c r="U196" s="9">
        <f t="shared" si="82"/>
        <v>551.575608012987</v>
      </c>
      <c r="V196" s="75">
        <f t="shared" si="77"/>
        <v>137.89390200324675</v>
      </c>
      <c r="W196" s="42">
        <v>689</v>
      </c>
      <c r="X196" s="71">
        <v>682.37926793831184</v>
      </c>
      <c r="Y196" s="60">
        <f t="shared" si="51"/>
        <v>1.0097024226449487</v>
      </c>
      <c r="Z196" s="60">
        <f t="shared" si="81"/>
        <v>9.7024226449486939E-3</v>
      </c>
      <c r="AA196" s="14"/>
      <c r="AC196" s="16"/>
      <c r="AD196" s="5"/>
      <c r="AE196" s="5"/>
      <c r="AF196" s="5"/>
      <c r="AG196" s="5"/>
      <c r="AH196" s="5"/>
    </row>
    <row r="197" spans="1:34" s="47" customFormat="1" ht="15" customHeight="1" x14ac:dyDescent="0.2">
      <c r="A197" s="36" t="s">
        <v>535</v>
      </c>
      <c r="B197" s="27" t="s">
        <v>141</v>
      </c>
      <c r="C197" s="21">
        <v>942048</v>
      </c>
      <c r="D197" s="7">
        <v>1925</v>
      </c>
      <c r="E197" s="7">
        <v>22</v>
      </c>
      <c r="F197" s="8">
        <f t="shared" si="72"/>
        <v>179.43771428571429</v>
      </c>
      <c r="G197" s="33">
        <v>471732</v>
      </c>
      <c r="H197" s="7">
        <v>1925</v>
      </c>
      <c r="I197" s="7">
        <v>26</v>
      </c>
      <c r="J197" s="8">
        <f t="shared" si="73"/>
        <v>106.19075324675325</v>
      </c>
      <c r="K197" s="7">
        <v>4788</v>
      </c>
      <c r="L197" s="7">
        <v>846720</v>
      </c>
      <c r="M197" s="7">
        <v>35</v>
      </c>
      <c r="N197" s="75">
        <f t="shared" si="74"/>
        <v>0.19791666666666666</v>
      </c>
      <c r="O197" s="75">
        <f t="shared" si="75"/>
        <v>285.82638419913422</v>
      </c>
      <c r="P197" s="75">
        <f t="shared" si="79"/>
        <v>86.319568028138534</v>
      </c>
      <c r="Q197" s="68">
        <f t="shared" si="78"/>
        <v>291.54291188311691</v>
      </c>
      <c r="R197" s="55">
        <f t="shared" si="80"/>
        <v>20.439999999999998</v>
      </c>
      <c r="S197" s="55">
        <v>20.439999999999998</v>
      </c>
      <c r="T197" s="78">
        <f t="shared" si="76"/>
        <v>20.439999999999998</v>
      </c>
      <c r="U197" s="9">
        <f t="shared" si="82"/>
        <v>684.32678077705646</v>
      </c>
      <c r="V197" s="75">
        <f t="shared" si="77"/>
        <v>171.08169519426411</v>
      </c>
      <c r="W197" s="42">
        <v>855</v>
      </c>
      <c r="X197" s="71">
        <v>834.48333571158037</v>
      </c>
      <c r="Y197" s="60">
        <f t="shared" si="51"/>
        <v>1.0245860683016812</v>
      </c>
      <c r="Z197" s="60">
        <f t="shared" si="81"/>
        <v>2.4586068301681197E-2</v>
      </c>
      <c r="AA197" s="14"/>
      <c r="AC197" s="16"/>
      <c r="AD197" s="5"/>
      <c r="AE197" s="5"/>
      <c r="AF197" s="5"/>
      <c r="AG197" s="5"/>
      <c r="AH197" s="5"/>
    </row>
    <row r="198" spans="1:34" ht="15" customHeight="1" x14ac:dyDescent="0.2">
      <c r="A198" s="36" t="s">
        <v>536</v>
      </c>
      <c r="B198" s="27" t="s">
        <v>142</v>
      </c>
      <c r="C198" s="21">
        <v>942048</v>
      </c>
      <c r="D198" s="7">
        <v>1925</v>
      </c>
      <c r="E198" s="7">
        <v>16</v>
      </c>
      <c r="F198" s="8">
        <f t="shared" si="72"/>
        <v>130.50015584415584</v>
      </c>
      <c r="G198" s="33">
        <v>471732</v>
      </c>
      <c r="H198" s="7">
        <v>1925</v>
      </c>
      <c r="I198" s="7">
        <v>20</v>
      </c>
      <c r="J198" s="8">
        <f t="shared" si="73"/>
        <v>81.685194805194797</v>
      </c>
      <c r="K198" s="7">
        <v>4788</v>
      </c>
      <c r="L198" s="7">
        <v>846720</v>
      </c>
      <c r="M198" s="7">
        <v>25</v>
      </c>
      <c r="N198" s="75">
        <f t="shared" si="74"/>
        <v>0.14136904761904762</v>
      </c>
      <c r="O198" s="75">
        <f t="shared" si="75"/>
        <v>212.32671969696969</v>
      </c>
      <c r="P198" s="75">
        <f t="shared" si="79"/>
        <v>64.122669348484848</v>
      </c>
      <c r="Q198" s="68">
        <f t="shared" si="78"/>
        <v>216.57325409090907</v>
      </c>
      <c r="R198" s="55">
        <f t="shared" si="80"/>
        <v>20.439999999999998</v>
      </c>
      <c r="S198" s="55">
        <v>20.439999999999998</v>
      </c>
      <c r="T198" s="78">
        <f t="shared" si="76"/>
        <v>20.439999999999998</v>
      </c>
      <c r="U198" s="9">
        <f t="shared" si="82"/>
        <v>513.6040121839826</v>
      </c>
      <c r="V198" s="75">
        <f t="shared" si="77"/>
        <v>128.40100304599565</v>
      </c>
      <c r="W198" s="42">
        <v>642</v>
      </c>
      <c r="X198" s="71">
        <v>628.44091652867962</v>
      </c>
      <c r="Y198" s="60">
        <f t="shared" si="51"/>
        <v>1.0215757489919923</v>
      </c>
      <c r="Z198" s="60">
        <f t="shared" si="81"/>
        <v>2.1575748991992327E-2</v>
      </c>
      <c r="AA198" s="14"/>
    </row>
    <row r="199" spans="1:34" ht="15" customHeight="1" x14ac:dyDescent="0.2">
      <c r="A199" s="36" t="s">
        <v>537</v>
      </c>
      <c r="B199" s="27" t="s">
        <v>143</v>
      </c>
      <c r="C199" s="21">
        <v>942048</v>
      </c>
      <c r="D199" s="7">
        <v>1925</v>
      </c>
      <c r="E199" s="7">
        <v>15</v>
      </c>
      <c r="F199" s="8">
        <f t="shared" si="72"/>
        <v>122.3438961038961</v>
      </c>
      <c r="G199" s="33">
        <v>471732</v>
      </c>
      <c r="H199" s="7">
        <v>1925</v>
      </c>
      <c r="I199" s="7">
        <v>15</v>
      </c>
      <c r="J199" s="8">
        <f t="shared" si="73"/>
        <v>61.263896103896101</v>
      </c>
      <c r="K199" s="7">
        <v>4788</v>
      </c>
      <c r="L199" s="7">
        <v>846720</v>
      </c>
      <c r="M199" s="7">
        <v>20</v>
      </c>
      <c r="N199" s="75">
        <f t="shared" si="74"/>
        <v>0.1130952380952381</v>
      </c>
      <c r="O199" s="75">
        <f t="shared" si="75"/>
        <v>183.72088744588746</v>
      </c>
      <c r="P199" s="75">
        <f t="shared" si="79"/>
        <v>55.483708008658013</v>
      </c>
      <c r="Q199" s="68">
        <f t="shared" si="78"/>
        <v>187.39530519480522</v>
      </c>
      <c r="R199" s="55">
        <f t="shared" si="80"/>
        <v>20.439999999999998</v>
      </c>
      <c r="S199" s="55">
        <v>20.439999999999998</v>
      </c>
      <c r="T199" s="78">
        <f t="shared" si="76"/>
        <v>20.439999999999998</v>
      </c>
      <c r="U199" s="9">
        <f t="shared" si="82"/>
        <v>447.15299588744591</v>
      </c>
      <c r="V199" s="75">
        <f t="shared" si="77"/>
        <v>111.78824897186148</v>
      </c>
      <c r="W199" s="42">
        <v>559</v>
      </c>
      <c r="X199" s="71">
        <v>540.53864096320342</v>
      </c>
      <c r="Y199" s="60">
        <f t="shared" ref="Y199:Y262" si="83">W199/X199</f>
        <v>1.0341536342413924</v>
      </c>
      <c r="Z199" s="60">
        <f t="shared" si="81"/>
        <v>3.4153634241392394E-2</v>
      </c>
      <c r="AA199" s="14"/>
    </row>
    <row r="200" spans="1:34" ht="15" customHeight="1" x14ac:dyDescent="0.2">
      <c r="A200" s="36" t="s">
        <v>538</v>
      </c>
      <c r="B200" s="27" t="s">
        <v>144</v>
      </c>
      <c r="C200" s="21">
        <v>942048</v>
      </c>
      <c r="D200" s="7">
        <v>1925</v>
      </c>
      <c r="E200" s="7">
        <v>11</v>
      </c>
      <c r="F200" s="8">
        <f t="shared" si="72"/>
        <v>89.718857142857146</v>
      </c>
      <c r="G200" s="33">
        <v>471732</v>
      </c>
      <c r="H200" s="7">
        <v>1925</v>
      </c>
      <c r="I200" s="7">
        <v>13</v>
      </c>
      <c r="J200" s="8">
        <f t="shared" si="73"/>
        <v>53.095376623376623</v>
      </c>
      <c r="K200" s="7">
        <v>4788</v>
      </c>
      <c r="L200" s="7">
        <v>846720</v>
      </c>
      <c r="M200" s="7">
        <v>10</v>
      </c>
      <c r="N200" s="75">
        <f t="shared" si="74"/>
        <v>5.6547619047619048E-2</v>
      </c>
      <c r="O200" s="75">
        <f t="shared" si="75"/>
        <v>142.87078138528139</v>
      </c>
      <c r="P200" s="75">
        <f t="shared" si="79"/>
        <v>43.14697597835498</v>
      </c>
      <c r="Q200" s="68">
        <f t="shared" si="78"/>
        <v>145.72819701298701</v>
      </c>
      <c r="R200" s="55">
        <f t="shared" si="80"/>
        <v>20.439999999999998</v>
      </c>
      <c r="S200" s="55">
        <v>20.439999999999998</v>
      </c>
      <c r="T200" s="78">
        <f t="shared" si="76"/>
        <v>20.439999999999998</v>
      </c>
      <c r="U200" s="9">
        <f t="shared" si="82"/>
        <v>352.24250199567103</v>
      </c>
      <c r="V200" s="75">
        <f t="shared" si="77"/>
        <v>88.060625498917759</v>
      </c>
      <c r="W200" s="42">
        <v>440</v>
      </c>
      <c r="X200" s="71">
        <v>429.84055736471868</v>
      </c>
      <c r="Y200" s="60">
        <f t="shared" si="83"/>
        <v>1.0236353747016502</v>
      </c>
      <c r="Z200" s="60">
        <f t="shared" si="81"/>
        <v>2.3635374701650225E-2</v>
      </c>
      <c r="AA200" s="14"/>
    </row>
    <row r="201" spans="1:34" ht="15" customHeight="1" x14ac:dyDescent="0.2">
      <c r="A201" s="36" t="s">
        <v>539</v>
      </c>
      <c r="B201" s="27" t="s">
        <v>145</v>
      </c>
      <c r="C201" s="21">
        <v>942048</v>
      </c>
      <c r="D201" s="7">
        <v>1925</v>
      </c>
      <c r="E201" s="7">
        <v>18</v>
      </c>
      <c r="F201" s="8">
        <f t="shared" si="72"/>
        <v>146.81267532467533</v>
      </c>
      <c r="G201" s="33">
        <v>471732</v>
      </c>
      <c r="H201" s="7">
        <v>1925</v>
      </c>
      <c r="I201" s="7">
        <v>20</v>
      </c>
      <c r="J201" s="8">
        <f t="shared" si="73"/>
        <v>81.685194805194797</v>
      </c>
      <c r="K201" s="7">
        <v>4788</v>
      </c>
      <c r="L201" s="7">
        <v>846720</v>
      </c>
      <c r="M201" s="7">
        <v>25</v>
      </c>
      <c r="N201" s="75">
        <f t="shared" si="74"/>
        <v>0.14136904761904762</v>
      </c>
      <c r="O201" s="75">
        <f t="shared" si="75"/>
        <v>228.63923917748917</v>
      </c>
      <c r="P201" s="75">
        <f t="shared" si="79"/>
        <v>69.049050231601726</v>
      </c>
      <c r="Q201" s="68">
        <f t="shared" si="78"/>
        <v>233.21202396103897</v>
      </c>
      <c r="R201" s="55">
        <f t="shared" si="80"/>
        <v>20.439999999999998</v>
      </c>
      <c r="S201" s="55">
        <v>20.439999999999998</v>
      </c>
      <c r="T201" s="78">
        <f t="shared" si="76"/>
        <v>20.439999999999998</v>
      </c>
      <c r="U201" s="9">
        <f t="shared" si="82"/>
        <v>551.48168241774897</v>
      </c>
      <c r="V201" s="75">
        <f t="shared" si="77"/>
        <v>137.87042060443724</v>
      </c>
      <c r="W201" s="42">
        <v>689</v>
      </c>
      <c r="X201" s="71">
        <v>682.26186094426396</v>
      </c>
      <c r="Y201" s="60">
        <f t="shared" si="83"/>
        <v>1.0098761772296789</v>
      </c>
      <c r="Z201" s="60">
        <f t="shared" si="81"/>
        <v>9.8761772296789285E-3</v>
      </c>
      <c r="AA201" s="14"/>
    </row>
    <row r="202" spans="1:34" ht="15" customHeight="1" x14ac:dyDescent="0.2">
      <c r="A202" s="36" t="s">
        <v>540</v>
      </c>
      <c r="B202" s="27" t="s">
        <v>146</v>
      </c>
      <c r="C202" s="21">
        <v>942048</v>
      </c>
      <c r="D202" s="7">
        <v>1925</v>
      </c>
      <c r="E202" s="7">
        <v>25</v>
      </c>
      <c r="F202" s="8">
        <f t="shared" si="72"/>
        <v>203.90649350649349</v>
      </c>
      <c r="G202" s="33">
        <v>471732</v>
      </c>
      <c r="H202" s="7">
        <v>1925</v>
      </c>
      <c r="I202" s="7">
        <v>28</v>
      </c>
      <c r="J202" s="8">
        <f t="shared" si="73"/>
        <v>114.35927272727272</v>
      </c>
      <c r="K202" s="7">
        <v>4788</v>
      </c>
      <c r="L202" s="7">
        <v>846720</v>
      </c>
      <c r="M202" s="7">
        <v>35</v>
      </c>
      <c r="N202" s="75">
        <f t="shared" si="74"/>
        <v>0.19791666666666666</v>
      </c>
      <c r="O202" s="75">
        <f t="shared" si="75"/>
        <v>318.4636829004329</v>
      </c>
      <c r="P202" s="75">
        <f t="shared" si="79"/>
        <v>96.176032235930734</v>
      </c>
      <c r="Q202" s="68">
        <f t="shared" si="78"/>
        <v>324.83295655844154</v>
      </c>
      <c r="R202" s="55">
        <f t="shared" si="80"/>
        <v>20.439999999999998</v>
      </c>
      <c r="S202" s="55">
        <v>20.439999999999998</v>
      </c>
      <c r="T202" s="78">
        <f t="shared" si="76"/>
        <v>20.439999999999998</v>
      </c>
      <c r="U202" s="9">
        <f t="shared" si="82"/>
        <v>760.11058836147186</v>
      </c>
      <c r="V202" s="75">
        <f t="shared" si="77"/>
        <v>190.02764709036796</v>
      </c>
      <c r="W202" s="42">
        <v>950</v>
      </c>
      <c r="X202" s="71">
        <v>944.94660532196974</v>
      </c>
      <c r="Y202" s="60">
        <f t="shared" si="83"/>
        <v>1.0053478097593762</v>
      </c>
      <c r="Z202" s="60">
        <f t="shared" si="81"/>
        <v>5.3478097593762097E-3</v>
      </c>
      <c r="AA202" s="14"/>
    </row>
    <row r="203" spans="1:34" ht="15" customHeight="1" x14ac:dyDescent="0.2">
      <c r="A203" s="36" t="s">
        <v>541</v>
      </c>
      <c r="B203" s="27" t="s">
        <v>147</v>
      </c>
      <c r="C203" s="21">
        <v>942048</v>
      </c>
      <c r="D203" s="7">
        <v>1925</v>
      </c>
      <c r="E203" s="7">
        <v>15</v>
      </c>
      <c r="F203" s="8">
        <f t="shared" si="72"/>
        <v>122.3438961038961</v>
      </c>
      <c r="G203" s="33">
        <v>471732</v>
      </c>
      <c r="H203" s="7">
        <v>1925</v>
      </c>
      <c r="I203" s="7">
        <v>15</v>
      </c>
      <c r="J203" s="8">
        <f t="shared" si="73"/>
        <v>61.263896103896101</v>
      </c>
      <c r="K203" s="7">
        <v>45600</v>
      </c>
      <c r="L203" s="7">
        <v>846720</v>
      </c>
      <c r="M203" s="7">
        <v>20</v>
      </c>
      <c r="N203" s="75">
        <f t="shared" si="74"/>
        <v>1.0770975056689343</v>
      </c>
      <c r="O203" s="75">
        <f t="shared" si="75"/>
        <v>184.68488971346116</v>
      </c>
      <c r="P203" s="75">
        <f t="shared" si="79"/>
        <v>55.774836693465268</v>
      </c>
      <c r="Q203" s="68">
        <f t="shared" si="78"/>
        <v>188.37858750773037</v>
      </c>
      <c r="R203" s="55">
        <f t="shared" si="80"/>
        <v>20.439999999999998</v>
      </c>
      <c r="S203" s="55">
        <v>20.439999999999998</v>
      </c>
      <c r="T203" s="78">
        <f t="shared" si="76"/>
        <v>20.439999999999998</v>
      </c>
      <c r="U203" s="9">
        <f t="shared" si="82"/>
        <v>450.35541142032577</v>
      </c>
      <c r="V203" s="75">
        <f t="shared" si="77"/>
        <v>112.58885285508144</v>
      </c>
      <c r="W203" s="42">
        <v>563</v>
      </c>
      <c r="X203" s="71">
        <v>544.54166037930327</v>
      </c>
      <c r="Y203" s="60">
        <f t="shared" si="83"/>
        <v>1.0338970201248505</v>
      </c>
      <c r="Z203" s="60">
        <f t="shared" si="81"/>
        <v>3.3897020124850519E-2</v>
      </c>
      <c r="AA203" s="14"/>
    </row>
    <row r="204" spans="1:34" ht="15" customHeight="1" x14ac:dyDescent="0.2">
      <c r="A204" s="36" t="s">
        <v>542</v>
      </c>
      <c r="B204" s="27" t="s">
        <v>148</v>
      </c>
      <c r="C204" s="21">
        <v>942048</v>
      </c>
      <c r="D204" s="7">
        <v>1925</v>
      </c>
      <c r="E204" s="7">
        <v>13</v>
      </c>
      <c r="F204" s="8">
        <f t="shared" si="72"/>
        <v>106.03137662337662</v>
      </c>
      <c r="G204" s="33">
        <v>471732</v>
      </c>
      <c r="H204" s="7">
        <v>1925</v>
      </c>
      <c r="I204" s="7">
        <v>10</v>
      </c>
      <c r="J204" s="8">
        <f t="shared" si="73"/>
        <v>40.842597402597399</v>
      </c>
      <c r="K204" s="7">
        <v>45600</v>
      </c>
      <c r="L204" s="7">
        <v>846720</v>
      </c>
      <c r="M204" s="7">
        <v>15</v>
      </c>
      <c r="N204" s="75">
        <f t="shared" si="74"/>
        <v>0.80782312925170074</v>
      </c>
      <c r="O204" s="75">
        <f t="shared" si="75"/>
        <v>147.68179715522569</v>
      </c>
      <c r="P204" s="75">
        <f t="shared" si="79"/>
        <v>44.599902740878157</v>
      </c>
      <c r="Q204" s="68">
        <f t="shared" si="78"/>
        <v>150.63543309833022</v>
      </c>
      <c r="R204" s="55">
        <f t="shared" si="80"/>
        <v>20.439999999999998</v>
      </c>
      <c r="S204" s="55">
        <v>20.439999999999998</v>
      </c>
      <c r="T204" s="78">
        <f t="shared" si="76"/>
        <v>20.439999999999998</v>
      </c>
      <c r="U204" s="9">
        <f t="shared" si="82"/>
        <v>364.16495612368573</v>
      </c>
      <c r="V204" s="75">
        <f t="shared" si="77"/>
        <v>91.041239030921432</v>
      </c>
      <c r="W204" s="42">
        <v>455</v>
      </c>
      <c r="X204" s="71">
        <v>440.51969593382807</v>
      </c>
      <c r="Y204" s="60">
        <f t="shared" si="83"/>
        <v>1.032870957189499</v>
      </c>
      <c r="Z204" s="60">
        <f t="shared" si="81"/>
        <v>3.2870957189498951E-2</v>
      </c>
      <c r="AA204" s="14"/>
    </row>
    <row r="205" spans="1:34" ht="15" customHeight="1" x14ac:dyDescent="0.2">
      <c r="A205" s="36" t="s">
        <v>543</v>
      </c>
      <c r="B205" s="27" t="s">
        <v>149</v>
      </c>
      <c r="C205" s="21">
        <v>942048</v>
      </c>
      <c r="D205" s="7">
        <v>1925</v>
      </c>
      <c r="E205" s="7">
        <v>25</v>
      </c>
      <c r="F205" s="8">
        <f t="shared" si="72"/>
        <v>203.90649350649349</v>
      </c>
      <c r="G205" s="33">
        <v>471732</v>
      </c>
      <c r="H205" s="7">
        <v>1925</v>
      </c>
      <c r="I205" s="7">
        <v>28</v>
      </c>
      <c r="J205" s="8">
        <f t="shared" si="73"/>
        <v>114.35927272727272</v>
      </c>
      <c r="K205" s="7">
        <v>4788</v>
      </c>
      <c r="L205" s="7">
        <v>846720</v>
      </c>
      <c r="M205" s="7">
        <v>40</v>
      </c>
      <c r="N205" s="75">
        <f t="shared" si="74"/>
        <v>0.22619047619047619</v>
      </c>
      <c r="O205" s="75">
        <f t="shared" si="75"/>
        <v>318.4919567099567</v>
      </c>
      <c r="P205" s="75">
        <f t="shared" si="79"/>
        <v>96.18457092640692</v>
      </c>
      <c r="Q205" s="68">
        <f t="shared" si="78"/>
        <v>324.86179584415584</v>
      </c>
      <c r="R205" s="55">
        <f t="shared" si="80"/>
        <v>20.439999999999998</v>
      </c>
      <c r="S205" s="55">
        <v>20.439999999999998</v>
      </c>
      <c r="T205" s="78">
        <f t="shared" si="76"/>
        <v>20.439999999999998</v>
      </c>
      <c r="U205" s="9">
        <f t="shared" si="82"/>
        <v>760.20451395670989</v>
      </c>
      <c r="V205" s="75">
        <f t="shared" si="77"/>
        <v>190.05112848917747</v>
      </c>
      <c r="W205" s="42">
        <v>950</v>
      </c>
      <c r="X205" s="71">
        <v>945.06401231601728</v>
      </c>
      <c r="Y205" s="60">
        <f t="shared" si="83"/>
        <v>1.0052229136012558</v>
      </c>
      <c r="Z205" s="60">
        <f t="shared" si="81"/>
        <v>5.2229136012558186E-3</v>
      </c>
      <c r="AA205" s="14"/>
    </row>
    <row r="206" spans="1:34" ht="15" customHeight="1" x14ac:dyDescent="0.2">
      <c r="A206" s="36" t="s">
        <v>544</v>
      </c>
      <c r="B206" s="27" t="s">
        <v>150</v>
      </c>
      <c r="C206" s="21">
        <v>942048</v>
      </c>
      <c r="D206" s="7">
        <v>1925</v>
      </c>
      <c r="E206" s="7">
        <v>11</v>
      </c>
      <c r="F206" s="8">
        <f t="shared" si="72"/>
        <v>89.718857142857146</v>
      </c>
      <c r="G206" s="33">
        <v>471732</v>
      </c>
      <c r="H206" s="7">
        <v>1925</v>
      </c>
      <c r="I206" s="7">
        <v>13</v>
      </c>
      <c r="J206" s="8">
        <f t="shared" si="73"/>
        <v>53.095376623376623</v>
      </c>
      <c r="K206" s="7">
        <v>4788</v>
      </c>
      <c r="L206" s="7">
        <v>846720</v>
      </c>
      <c r="M206" s="7">
        <v>15</v>
      </c>
      <c r="N206" s="75">
        <f t="shared" si="74"/>
        <v>8.4821428571428575E-2</v>
      </c>
      <c r="O206" s="75">
        <f t="shared" si="75"/>
        <v>142.89905519480519</v>
      </c>
      <c r="P206" s="75">
        <f t="shared" si="79"/>
        <v>43.155514668831167</v>
      </c>
      <c r="Q206" s="68">
        <f t="shared" si="78"/>
        <v>145.75703629870128</v>
      </c>
      <c r="R206" s="55">
        <f t="shared" si="80"/>
        <v>20.439999999999998</v>
      </c>
      <c r="S206" s="55">
        <v>20.439999999999998</v>
      </c>
      <c r="T206" s="78">
        <f t="shared" si="76"/>
        <v>20.439999999999998</v>
      </c>
      <c r="U206" s="9">
        <f t="shared" si="82"/>
        <v>352.33642759090907</v>
      </c>
      <c r="V206" s="75">
        <f t="shared" si="77"/>
        <v>88.084106897727267</v>
      </c>
      <c r="W206" s="42">
        <v>440</v>
      </c>
      <c r="X206" s="71">
        <v>429.95796435876622</v>
      </c>
      <c r="Y206" s="60">
        <f t="shared" si="83"/>
        <v>1.0233558544640762</v>
      </c>
      <c r="Z206" s="60">
        <f t="shared" si="81"/>
        <v>2.3355854464076176E-2</v>
      </c>
      <c r="AA206" s="14"/>
    </row>
    <row r="207" spans="1:34" ht="15" customHeight="1" x14ac:dyDescent="0.2">
      <c r="A207" s="36" t="s">
        <v>545</v>
      </c>
      <c r="B207" s="27" t="s">
        <v>151</v>
      </c>
      <c r="C207" s="21">
        <v>942048</v>
      </c>
      <c r="D207" s="7">
        <v>1925</v>
      </c>
      <c r="E207" s="7">
        <v>22</v>
      </c>
      <c r="F207" s="8">
        <f t="shared" si="72"/>
        <v>179.43771428571429</v>
      </c>
      <c r="G207" s="33">
        <v>471732</v>
      </c>
      <c r="H207" s="7">
        <v>1925</v>
      </c>
      <c r="I207" s="7">
        <v>25</v>
      </c>
      <c r="J207" s="8">
        <f t="shared" si="73"/>
        <v>102.10649350649351</v>
      </c>
      <c r="K207" s="7">
        <v>4788</v>
      </c>
      <c r="L207" s="7">
        <v>846720</v>
      </c>
      <c r="M207" s="7">
        <v>30</v>
      </c>
      <c r="N207" s="75">
        <f t="shared" si="74"/>
        <v>0.16964285714285715</v>
      </c>
      <c r="O207" s="75">
        <f t="shared" si="75"/>
        <v>281.7138506493506</v>
      </c>
      <c r="P207" s="75">
        <f t="shared" si="79"/>
        <v>85.077582896103877</v>
      </c>
      <c r="Q207" s="68">
        <f t="shared" si="78"/>
        <v>287.34812766233762</v>
      </c>
      <c r="R207" s="55">
        <f t="shared" si="80"/>
        <v>20.439999999999998</v>
      </c>
      <c r="S207" s="55">
        <v>20.439999999999998</v>
      </c>
      <c r="T207" s="78">
        <f t="shared" si="76"/>
        <v>20.439999999999998</v>
      </c>
      <c r="U207" s="9">
        <f t="shared" si="82"/>
        <v>674.74920406493493</v>
      </c>
      <c r="V207" s="75">
        <f t="shared" si="77"/>
        <v>168.68730101623373</v>
      </c>
      <c r="W207" s="42">
        <v>843</v>
      </c>
      <c r="X207" s="71">
        <v>823.98508092532461</v>
      </c>
      <c r="Y207" s="60">
        <f t="shared" si="83"/>
        <v>1.0230767759208963</v>
      </c>
      <c r="Z207" s="60">
        <f t="shared" si="81"/>
        <v>2.3076775920896297E-2</v>
      </c>
      <c r="AA207" s="14"/>
    </row>
    <row r="208" spans="1:34" ht="15" customHeight="1" x14ac:dyDescent="0.2">
      <c r="A208" s="36" t="s">
        <v>546</v>
      </c>
      <c r="B208" s="27" t="s">
        <v>285</v>
      </c>
      <c r="C208" s="21">
        <v>942048</v>
      </c>
      <c r="D208" s="7">
        <v>1925</v>
      </c>
      <c r="E208" s="7">
        <v>11</v>
      </c>
      <c r="F208" s="8">
        <f>C208/D208/60*E208</f>
        <v>89.718857142857146</v>
      </c>
      <c r="G208" s="33">
        <v>471732</v>
      </c>
      <c r="H208" s="22">
        <v>1925</v>
      </c>
      <c r="I208" s="7">
        <v>6</v>
      </c>
      <c r="J208" s="8">
        <f>G208/H208/60*I208</f>
        <v>24.505558441558442</v>
      </c>
      <c r="K208" s="7">
        <v>153870</v>
      </c>
      <c r="L208" s="7">
        <v>846720</v>
      </c>
      <c r="M208" s="7">
        <v>10</v>
      </c>
      <c r="N208" s="75">
        <f>K208/L208*M208</f>
        <v>1.8172477324263039</v>
      </c>
      <c r="O208" s="75">
        <f>F208+J208+N208</f>
        <v>116.04166331684191</v>
      </c>
      <c r="P208" s="75">
        <f>O208*0.302</f>
        <v>35.044582321686256</v>
      </c>
      <c r="Q208" s="68">
        <f>(O208)*102%</f>
        <v>118.36249658317874</v>
      </c>
      <c r="R208" s="55">
        <f>3.16</f>
        <v>3.16</v>
      </c>
      <c r="S208" s="55">
        <v>3.16</v>
      </c>
      <c r="T208" s="78">
        <f>S208*1</f>
        <v>3.16</v>
      </c>
      <c r="U208" s="9">
        <f>N208+O208+P208+Q208+T208</f>
        <v>274.42598995413323</v>
      </c>
      <c r="V208" s="75">
        <f>U208*25%</f>
        <v>68.606497488533307</v>
      </c>
      <c r="W208" s="42">
        <v>343</v>
      </c>
      <c r="X208" s="71">
        <v>342.88593004006913</v>
      </c>
      <c r="Y208" s="60">
        <f t="shared" si="83"/>
        <v>1.0003326761174409</v>
      </c>
      <c r="Z208" s="60">
        <f t="shared" si="81"/>
        <v>3.3267611744092207E-4</v>
      </c>
      <c r="AA208" s="14"/>
    </row>
    <row r="209" spans="1:34" ht="15" customHeight="1" x14ac:dyDescent="0.2">
      <c r="A209" s="36" t="s">
        <v>547</v>
      </c>
      <c r="B209" s="27" t="s">
        <v>152</v>
      </c>
      <c r="C209" s="21">
        <v>942048</v>
      </c>
      <c r="D209" s="7">
        <v>1925</v>
      </c>
      <c r="E209" s="7">
        <v>11</v>
      </c>
      <c r="F209" s="8">
        <f>C209/D209/60*E209</f>
        <v>89.718857142857146</v>
      </c>
      <c r="G209" s="33">
        <v>471732</v>
      </c>
      <c r="H209" s="7">
        <v>1925</v>
      </c>
      <c r="I209" s="7">
        <v>10</v>
      </c>
      <c r="J209" s="8">
        <f>G209/H209/60*I209</f>
        <v>40.842597402597399</v>
      </c>
      <c r="K209" s="7">
        <v>33040</v>
      </c>
      <c r="L209" s="7">
        <v>846720</v>
      </c>
      <c r="M209" s="7">
        <v>15</v>
      </c>
      <c r="N209" s="75">
        <f t="shared" si="74"/>
        <v>0.58531746031746024</v>
      </c>
      <c r="O209" s="75">
        <f t="shared" si="75"/>
        <v>131.14677200577202</v>
      </c>
      <c r="P209" s="75">
        <f t="shared" si="79"/>
        <v>39.606325145743149</v>
      </c>
      <c r="Q209" s="68">
        <f t="shared" si="78"/>
        <v>133.76970744588746</v>
      </c>
      <c r="R209" s="55">
        <f t="shared" si="80"/>
        <v>20.439999999999998</v>
      </c>
      <c r="S209" s="55">
        <v>20.439999999999998</v>
      </c>
      <c r="T209" s="78">
        <f t="shared" si="76"/>
        <v>20.439999999999998</v>
      </c>
      <c r="U209" s="9">
        <f t="shared" si="82"/>
        <v>325.54812205772009</v>
      </c>
      <c r="V209" s="75">
        <f>U209*25%</f>
        <v>81.387030514430023</v>
      </c>
      <c r="W209" s="42">
        <v>407</v>
      </c>
      <c r="X209" s="71">
        <v>400.89373075396827</v>
      </c>
      <c r="Y209" s="60">
        <f t="shared" si="83"/>
        <v>1.0152316406508717</v>
      </c>
      <c r="Z209" s="60">
        <f t="shared" si="81"/>
        <v>1.5231640650871681E-2</v>
      </c>
      <c r="AA209" s="14"/>
    </row>
    <row r="210" spans="1:34" ht="15" customHeight="1" x14ac:dyDescent="0.2">
      <c r="A210" s="36" t="s">
        <v>548</v>
      </c>
      <c r="B210" s="27" t="s">
        <v>155</v>
      </c>
      <c r="C210" s="21">
        <v>942048</v>
      </c>
      <c r="D210" s="7">
        <v>1925</v>
      </c>
      <c r="E210" s="7">
        <v>26</v>
      </c>
      <c r="F210" s="8">
        <f t="shared" ref="F210:F216" si="84">C210/D210/60*E210</f>
        <v>212.06275324675323</v>
      </c>
      <c r="G210" s="33">
        <v>471732</v>
      </c>
      <c r="H210" s="7">
        <v>1925</v>
      </c>
      <c r="I210" s="7">
        <v>20</v>
      </c>
      <c r="J210" s="8">
        <f t="shared" ref="J210:J216" si="85">G210/H210/60*I210</f>
        <v>81.685194805194797</v>
      </c>
      <c r="K210" s="7">
        <v>0</v>
      </c>
      <c r="L210" s="7">
        <v>1</v>
      </c>
      <c r="M210" s="7">
        <v>0</v>
      </c>
      <c r="N210" s="75">
        <f t="shared" ref="N210:N260" si="86">K210/L210*M210</f>
        <v>0</v>
      </c>
      <c r="O210" s="75">
        <f t="shared" ref="O210:O260" si="87">F210+J210+N210</f>
        <v>293.74794805194801</v>
      </c>
      <c r="P210" s="75">
        <f>O210*0.302</f>
        <v>88.711880311688304</v>
      </c>
      <c r="Q210" s="68">
        <f t="shared" ref="Q210:Q260" si="88">(O210)*102%</f>
        <v>299.62290701298696</v>
      </c>
      <c r="R210" s="55">
        <f>17.02+0.57*6+1.54*2</f>
        <v>23.519999999999996</v>
      </c>
      <c r="S210" s="55">
        <v>23.519999999999996</v>
      </c>
      <c r="T210" s="78">
        <f t="shared" si="76"/>
        <v>23.519999999999996</v>
      </c>
      <c r="U210" s="9">
        <f t="shared" si="82"/>
        <v>705.60273537662329</v>
      </c>
      <c r="V210" s="75">
        <f t="shared" ref="V210:V260" si="89">U210*25%</f>
        <v>176.40068384415582</v>
      </c>
      <c r="W210" s="42">
        <v>882</v>
      </c>
      <c r="X210" s="71">
        <v>864.92797402597398</v>
      </c>
      <c r="Y210" s="60">
        <f t="shared" si="83"/>
        <v>1.0197380897446997</v>
      </c>
      <c r="Z210" s="60">
        <f t="shared" si="81"/>
        <v>1.9738089744699705E-2</v>
      </c>
      <c r="AA210" s="14"/>
    </row>
    <row r="211" spans="1:34" ht="15" customHeight="1" x14ac:dyDescent="0.2">
      <c r="A211" s="36" t="s">
        <v>549</v>
      </c>
      <c r="B211" s="27" t="s">
        <v>283</v>
      </c>
      <c r="C211" s="21">
        <v>942048</v>
      </c>
      <c r="D211" s="7">
        <v>1925</v>
      </c>
      <c r="E211" s="7">
        <v>26</v>
      </c>
      <c r="F211" s="8">
        <f t="shared" si="84"/>
        <v>212.06275324675323</v>
      </c>
      <c r="G211" s="33">
        <v>471732</v>
      </c>
      <c r="H211" s="7">
        <v>1925</v>
      </c>
      <c r="I211" s="7">
        <v>20</v>
      </c>
      <c r="J211" s="8">
        <f t="shared" si="85"/>
        <v>81.685194805194797</v>
      </c>
      <c r="K211" s="7">
        <v>0</v>
      </c>
      <c r="L211" s="7">
        <v>1</v>
      </c>
      <c r="M211" s="7">
        <v>0</v>
      </c>
      <c r="N211" s="75">
        <f t="shared" si="86"/>
        <v>0</v>
      </c>
      <c r="O211" s="75">
        <f t="shared" si="87"/>
        <v>293.74794805194801</v>
      </c>
      <c r="P211" s="75">
        <f t="shared" ref="P211:P260" si="90">O211*0.302</f>
        <v>88.711880311688304</v>
      </c>
      <c r="Q211" s="68">
        <f t="shared" si="88"/>
        <v>299.62290701298696</v>
      </c>
      <c r="R211" s="55">
        <f>17.02+0.57*6+1.54*2+5.04*20</f>
        <v>124.32</v>
      </c>
      <c r="S211" s="55">
        <v>124.32</v>
      </c>
      <c r="T211" s="78">
        <f t="shared" si="76"/>
        <v>124.32</v>
      </c>
      <c r="U211" s="9">
        <f t="shared" si="82"/>
        <v>806.40273537662324</v>
      </c>
      <c r="V211" s="75">
        <f t="shared" si="89"/>
        <v>201.60068384415581</v>
      </c>
      <c r="W211" s="42">
        <v>1008</v>
      </c>
      <c r="X211" s="71">
        <v>990.92797402597398</v>
      </c>
      <c r="Y211" s="60">
        <f t="shared" si="83"/>
        <v>1.0172283217564897</v>
      </c>
      <c r="Z211" s="60">
        <f t="shared" si="81"/>
        <v>1.7228321756489695E-2</v>
      </c>
      <c r="AA211" s="14"/>
    </row>
    <row r="212" spans="1:34" s="47" customFormat="1" ht="15" customHeight="1" x14ac:dyDescent="0.2">
      <c r="A212" s="36" t="s">
        <v>550</v>
      </c>
      <c r="B212" s="27" t="s">
        <v>156</v>
      </c>
      <c r="C212" s="21">
        <v>942048</v>
      </c>
      <c r="D212" s="7">
        <v>1925</v>
      </c>
      <c r="E212" s="7">
        <v>24</v>
      </c>
      <c r="F212" s="8">
        <f t="shared" si="84"/>
        <v>195.75023376623375</v>
      </c>
      <c r="G212" s="33">
        <v>471732</v>
      </c>
      <c r="H212" s="7">
        <v>1925</v>
      </c>
      <c r="I212" s="7">
        <v>20</v>
      </c>
      <c r="J212" s="8">
        <f t="shared" si="85"/>
        <v>81.685194805194797</v>
      </c>
      <c r="K212" s="7">
        <v>0</v>
      </c>
      <c r="L212" s="7">
        <v>1</v>
      </c>
      <c r="M212" s="7">
        <v>0</v>
      </c>
      <c r="N212" s="75">
        <f t="shared" si="86"/>
        <v>0</v>
      </c>
      <c r="O212" s="75">
        <f t="shared" si="87"/>
        <v>277.43542857142853</v>
      </c>
      <c r="P212" s="75">
        <f t="shared" si="90"/>
        <v>83.785499428571413</v>
      </c>
      <c r="Q212" s="68">
        <f t="shared" si="88"/>
        <v>282.98413714285709</v>
      </c>
      <c r="R212" s="55">
        <f>17.02+0.57*6+1.54*2+4.96*8</f>
        <v>63.199999999999996</v>
      </c>
      <c r="S212" s="55">
        <v>63.199999999999996</v>
      </c>
      <c r="T212" s="78">
        <f t="shared" si="76"/>
        <v>63.199999999999996</v>
      </c>
      <c r="U212" s="9">
        <f t="shared" si="82"/>
        <v>707.4050651428571</v>
      </c>
      <c r="V212" s="75">
        <f t="shared" si="89"/>
        <v>176.85126628571427</v>
      </c>
      <c r="W212" s="42">
        <v>884</v>
      </c>
      <c r="X212" s="71">
        <v>860.70702961038955</v>
      </c>
      <c r="Y212" s="60">
        <f t="shared" si="83"/>
        <v>1.0270626003834944</v>
      </c>
      <c r="Z212" s="60">
        <f t="shared" si="81"/>
        <v>2.7062600383494395E-2</v>
      </c>
      <c r="AA212" s="14"/>
      <c r="AC212" s="16"/>
      <c r="AD212" s="5"/>
      <c r="AE212" s="5"/>
      <c r="AF212" s="5"/>
      <c r="AG212" s="5"/>
      <c r="AH212" s="5"/>
    </row>
    <row r="213" spans="1:34" s="47" customFormat="1" ht="15" customHeight="1" x14ac:dyDescent="0.2">
      <c r="A213" s="36" t="s">
        <v>551</v>
      </c>
      <c r="B213" s="27" t="s">
        <v>157</v>
      </c>
      <c r="C213" s="21">
        <v>942048</v>
      </c>
      <c r="D213" s="7">
        <v>1925</v>
      </c>
      <c r="E213" s="7">
        <v>25</v>
      </c>
      <c r="F213" s="8">
        <f t="shared" si="84"/>
        <v>203.90649350649349</v>
      </c>
      <c r="G213" s="33">
        <v>471732</v>
      </c>
      <c r="H213" s="7">
        <v>1925</v>
      </c>
      <c r="I213" s="7">
        <v>31</v>
      </c>
      <c r="J213" s="8">
        <f t="shared" si="85"/>
        <v>126.61205194805194</v>
      </c>
      <c r="K213" s="7">
        <v>0</v>
      </c>
      <c r="L213" s="7">
        <v>1</v>
      </c>
      <c r="M213" s="7">
        <v>0</v>
      </c>
      <c r="N213" s="75">
        <f t="shared" si="86"/>
        <v>0</v>
      </c>
      <c r="O213" s="75">
        <f t="shared" si="87"/>
        <v>330.51854545454546</v>
      </c>
      <c r="P213" s="75">
        <f t="shared" si="90"/>
        <v>99.816600727272728</v>
      </c>
      <c r="Q213" s="68">
        <f t="shared" si="88"/>
        <v>337.12891636363639</v>
      </c>
      <c r="R213" s="55">
        <f>17.02+0.57*6+1.54*2</f>
        <v>23.519999999999996</v>
      </c>
      <c r="S213" s="55">
        <v>23.519999999999996</v>
      </c>
      <c r="T213" s="78">
        <f t="shared" si="76"/>
        <v>23.519999999999996</v>
      </c>
      <c r="U213" s="9">
        <f t="shared" si="82"/>
        <v>790.98406254545455</v>
      </c>
      <c r="V213" s="75">
        <f t="shared" si="89"/>
        <v>197.74601563636364</v>
      </c>
      <c r="W213" s="42">
        <v>989</v>
      </c>
      <c r="X213" s="71">
        <v>979.1172997402598</v>
      </c>
      <c r="Y213" s="60">
        <f t="shared" si="83"/>
        <v>1.0100934793638738</v>
      </c>
      <c r="Z213" s="60">
        <f t="shared" si="81"/>
        <v>1.0093479363873836E-2</v>
      </c>
      <c r="AA213" s="14"/>
      <c r="AC213" s="16"/>
      <c r="AD213" s="5"/>
      <c r="AE213" s="5"/>
      <c r="AF213" s="5"/>
      <c r="AG213" s="5"/>
      <c r="AH213" s="5"/>
    </row>
    <row r="214" spans="1:34" s="47" customFormat="1" ht="15" customHeight="1" x14ac:dyDescent="0.2">
      <c r="A214" s="36" t="s">
        <v>902</v>
      </c>
      <c r="B214" s="27" t="s">
        <v>159</v>
      </c>
      <c r="C214" s="21">
        <v>942048</v>
      </c>
      <c r="D214" s="7">
        <v>1925</v>
      </c>
      <c r="E214" s="7">
        <v>30</v>
      </c>
      <c r="F214" s="8">
        <f t="shared" si="84"/>
        <v>244.6877922077922</v>
      </c>
      <c r="G214" s="33">
        <v>471732</v>
      </c>
      <c r="H214" s="7">
        <v>1925</v>
      </c>
      <c r="I214" s="7">
        <v>20</v>
      </c>
      <c r="J214" s="8">
        <f t="shared" si="85"/>
        <v>81.685194805194797</v>
      </c>
      <c r="K214" s="7">
        <v>0</v>
      </c>
      <c r="L214" s="7">
        <v>1</v>
      </c>
      <c r="M214" s="7">
        <v>0</v>
      </c>
      <c r="N214" s="75">
        <f t="shared" si="86"/>
        <v>0</v>
      </c>
      <c r="O214" s="75">
        <f t="shared" si="87"/>
        <v>326.37298701298698</v>
      </c>
      <c r="P214" s="75">
        <f t="shared" si="90"/>
        <v>98.564642077922059</v>
      </c>
      <c r="Q214" s="68">
        <f t="shared" si="88"/>
        <v>332.90044675324674</v>
      </c>
      <c r="R214" s="55">
        <f>17.02+0.57*6+1.54*2</f>
        <v>23.519999999999996</v>
      </c>
      <c r="S214" s="55">
        <v>23.519999999999996</v>
      </c>
      <c r="T214" s="78">
        <f t="shared" si="76"/>
        <v>23.519999999999996</v>
      </c>
      <c r="U214" s="9">
        <f t="shared" si="82"/>
        <v>781.35807584415579</v>
      </c>
      <c r="V214" s="75">
        <f t="shared" si="89"/>
        <v>195.33951896103895</v>
      </c>
      <c r="W214" s="42">
        <v>977</v>
      </c>
      <c r="X214" s="71">
        <v>932.8558223376624</v>
      </c>
      <c r="Y214" s="60">
        <f t="shared" si="83"/>
        <v>1.0473215438069687</v>
      </c>
      <c r="Z214" s="60">
        <f t="shared" si="81"/>
        <v>4.7321543806968736E-2</v>
      </c>
      <c r="AA214" s="14"/>
      <c r="AC214" s="16"/>
      <c r="AD214" s="5"/>
      <c r="AE214" s="5"/>
      <c r="AF214" s="5"/>
      <c r="AG214" s="5"/>
      <c r="AH214" s="5"/>
    </row>
    <row r="215" spans="1:34" s="47" customFormat="1" ht="15" customHeight="1" x14ac:dyDescent="0.2">
      <c r="A215" s="36" t="s">
        <v>552</v>
      </c>
      <c r="B215" s="27" t="s">
        <v>158</v>
      </c>
      <c r="C215" s="21">
        <v>942048</v>
      </c>
      <c r="D215" s="7">
        <v>1925</v>
      </c>
      <c r="E215" s="7">
        <v>20</v>
      </c>
      <c r="F215" s="8">
        <f t="shared" si="84"/>
        <v>163.12519480519481</v>
      </c>
      <c r="G215" s="33">
        <v>471732</v>
      </c>
      <c r="H215" s="7">
        <v>1925</v>
      </c>
      <c r="I215" s="7">
        <v>20</v>
      </c>
      <c r="J215" s="8">
        <f t="shared" si="85"/>
        <v>81.685194805194797</v>
      </c>
      <c r="K215" s="7">
        <v>0</v>
      </c>
      <c r="L215" s="7">
        <v>1</v>
      </c>
      <c r="M215" s="7">
        <v>0</v>
      </c>
      <c r="N215" s="75">
        <f t="shared" si="86"/>
        <v>0</v>
      </c>
      <c r="O215" s="75">
        <f t="shared" si="87"/>
        <v>244.81038961038962</v>
      </c>
      <c r="P215" s="75">
        <f t="shared" si="90"/>
        <v>73.932737662337658</v>
      </c>
      <c r="Q215" s="68">
        <f t="shared" si="88"/>
        <v>249.70659740259742</v>
      </c>
      <c r="R215" s="55">
        <f>17.02+0.57*6+1.54*2</f>
        <v>23.519999999999996</v>
      </c>
      <c r="S215" s="55">
        <v>23.519999999999996</v>
      </c>
      <c r="T215" s="78">
        <f t="shared" si="76"/>
        <v>23.519999999999996</v>
      </c>
      <c r="U215" s="9">
        <f t="shared" si="82"/>
        <v>591.96972467532464</v>
      </c>
      <c r="V215" s="75">
        <f t="shared" si="89"/>
        <v>147.99243116883116</v>
      </c>
      <c r="W215" s="42">
        <v>740</v>
      </c>
      <c r="X215" s="71">
        <v>717.57204467532461</v>
      </c>
      <c r="Y215" s="60">
        <f t="shared" si="83"/>
        <v>1.0312553359500274</v>
      </c>
      <c r="Z215" s="60">
        <f t="shared" si="81"/>
        <v>3.1255335950027385E-2</v>
      </c>
      <c r="AA215" s="14"/>
      <c r="AC215" s="16"/>
      <c r="AD215" s="5"/>
      <c r="AE215" s="5"/>
      <c r="AF215" s="5"/>
      <c r="AG215" s="5"/>
      <c r="AH215" s="5"/>
    </row>
    <row r="216" spans="1:34" s="47" customFormat="1" ht="15" customHeight="1" x14ac:dyDescent="0.2">
      <c r="A216" s="36" t="s">
        <v>553</v>
      </c>
      <c r="B216" s="29" t="s">
        <v>160</v>
      </c>
      <c r="C216" s="21">
        <v>942048</v>
      </c>
      <c r="D216" s="61">
        <v>1925</v>
      </c>
      <c r="E216" s="61">
        <v>26</v>
      </c>
      <c r="F216" s="62">
        <f t="shared" si="84"/>
        <v>212.06275324675323</v>
      </c>
      <c r="G216" s="33">
        <v>471732</v>
      </c>
      <c r="H216" s="61">
        <v>1925</v>
      </c>
      <c r="I216" s="61">
        <v>20</v>
      </c>
      <c r="J216" s="62">
        <f t="shared" si="85"/>
        <v>81.685194805194797</v>
      </c>
      <c r="K216" s="61">
        <v>0</v>
      </c>
      <c r="L216" s="61">
        <v>1</v>
      </c>
      <c r="M216" s="61">
        <v>0</v>
      </c>
      <c r="N216" s="88">
        <f t="shared" si="86"/>
        <v>0</v>
      </c>
      <c r="O216" s="88">
        <f t="shared" si="87"/>
        <v>293.74794805194801</v>
      </c>
      <c r="P216" s="88">
        <f t="shared" si="90"/>
        <v>88.711880311688304</v>
      </c>
      <c r="Q216" s="69">
        <f t="shared" si="88"/>
        <v>299.62290701298696</v>
      </c>
      <c r="R216" s="55">
        <f>17.02+0.57*6+1.54*2</f>
        <v>23.519999999999996</v>
      </c>
      <c r="S216" s="55">
        <v>23.519999999999996</v>
      </c>
      <c r="T216" s="78">
        <f t="shared" si="76"/>
        <v>23.519999999999996</v>
      </c>
      <c r="U216" s="9">
        <f t="shared" si="82"/>
        <v>705.60273537662329</v>
      </c>
      <c r="V216" s="88">
        <f t="shared" si="89"/>
        <v>176.40068384415582</v>
      </c>
      <c r="W216" s="42">
        <v>882</v>
      </c>
      <c r="X216" s="71">
        <v>864.92797402597398</v>
      </c>
      <c r="Y216" s="60">
        <f t="shared" si="83"/>
        <v>1.0197380897446997</v>
      </c>
      <c r="Z216" s="60">
        <f t="shared" si="81"/>
        <v>1.9738089744699705E-2</v>
      </c>
      <c r="AA216" s="14"/>
      <c r="AC216" s="16"/>
      <c r="AD216" s="5"/>
      <c r="AE216" s="5"/>
      <c r="AF216" s="5"/>
      <c r="AG216" s="5"/>
      <c r="AH216" s="5"/>
    </row>
    <row r="217" spans="1:34" s="47" customFormat="1" ht="15" customHeight="1" x14ac:dyDescent="0.2">
      <c r="A217" s="36" t="s">
        <v>903</v>
      </c>
      <c r="B217" s="70" t="s">
        <v>780</v>
      </c>
      <c r="C217" s="21">
        <v>942048</v>
      </c>
      <c r="D217" s="7">
        <v>1925</v>
      </c>
      <c r="E217" s="7">
        <v>35</v>
      </c>
      <c r="F217" s="62">
        <f t="shared" ref="F217:F260" si="91">C217/D217/60*E217</f>
        <v>285.46909090909088</v>
      </c>
      <c r="G217" s="33">
        <v>471732</v>
      </c>
      <c r="H217" s="61">
        <v>1925</v>
      </c>
      <c r="I217" s="7">
        <v>560</v>
      </c>
      <c r="J217" s="62">
        <f t="shared" ref="J217:J260" si="92">G217/H217/60*I217</f>
        <v>2287.1854545454544</v>
      </c>
      <c r="K217" s="7">
        <v>6656104</v>
      </c>
      <c r="L217" s="7">
        <v>846720</v>
      </c>
      <c r="M217" s="7">
        <f>I217/4</f>
        <v>140</v>
      </c>
      <c r="N217" s="88">
        <f t="shared" si="86"/>
        <v>1100.5462962962963</v>
      </c>
      <c r="O217" s="88">
        <f t="shared" si="87"/>
        <v>3673.2008417508414</v>
      </c>
      <c r="P217" s="88">
        <f t="shared" si="90"/>
        <v>1109.306654208754</v>
      </c>
      <c r="Q217" s="69">
        <f t="shared" si="88"/>
        <v>3746.6648585858584</v>
      </c>
      <c r="R217" s="63">
        <v>1030.7</v>
      </c>
      <c r="S217" s="63">
        <f>R217</f>
        <v>1030.7</v>
      </c>
      <c r="T217" s="78">
        <f t="shared" si="76"/>
        <v>1030.7</v>
      </c>
      <c r="U217" s="9">
        <f t="shared" si="82"/>
        <v>10660.418650841752</v>
      </c>
      <c r="V217" s="88">
        <f t="shared" si="89"/>
        <v>2665.1046627104379</v>
      </c>
      <c r="W217" s="42">
        <v>13215</v>
      </c>
      <c r="X217" s="71">
        <v>13215.3</v>
      </c>
      <c r="Y217" s="60">
        <f t="shared" si="83"/>
        <v>0.99997729903974941</v>
      </c>
      <c r="Z217" s="60">
        <f t="shared" si="81"/>
        <v>-2.2700960250587876E-5</v>
      </c>
      <c r="AA217" s="14"/>
      <c r="AC217" s="16"/>
      <c r="AD217" s="5"/>
      <c r="AE217" s="5"/>
      <c r="AF217" s="5"/>
      <c r="AG217" s="5"/>
      <c r="AH217" s="5"/>
    </row>
    <row r="218" spans="1:34" s="47" customFormat="1" ht="15" customHeight="1" x14ac:dyDescent="0.2">
      <c r="A218" s="36" t="s">
        <v>554</v>
      </c>
      <c r="B218" s="70" t="s">
        <v>781</v>
      </c>
      <c r="C218" s="21">
        <v>942048</v>
      </c>
      <c r="D218" s="61">
        <v>1925</v>
      </c>
      <c r="E218" s="7">
        <v>35</v>
      </c>
      <c r="F218" s="62">
        <f t="shared" si="91"/>
        <v>285.46909090909088</v>
      </c>
      <c r="G218" s="33">
        <v>471732</v>
      </c>
      <c r="H218" s="61">
        <v>1925</v>
      </c>
      <c r="I218" s="7">
        <v>256</v>
      </c>
      <c r="J218" s="62">
        <f t="shared" si="92"/>
        <v>1045.5704935064934</v>
      </c>
      <c r="K218" s="7">
        <v>6656104</v>
      </c>
      <c r="L218" s="7">
        <v>846720</v>
      </c>
      <c r="M218" s="7">
        <f t="shared" ref="M218:M260" si="93">I218/4</f>
        <v>64</v>
      </c>
      <c r="N218" s="88">
        <f t="shared" si="86"/>
        <v>503.10687830687829</v>
      </c>
      <c r="O218" s="88">
        <f t="shared" si="87"/>
        <v>1834.1464627224627</v>
      </c>
      <c r="P218" s="88">
        <f t="shared" si="90"/>
        <v>553.91223174218374</v>
      </c>
      <c r="Q218" s="69">
        <f t="shared" si="88"/>
        <v>1870.8293919769121</v>
      </c>
      <c r="R218" s="63">
        <v>471.5</v>
      </c>
      <c r="S218" s="63">
        <f t="shared" ref="S218:S260" si="94">R218</f>
        <v>471.5</v>
      </c>
      <c r="T218" s="78">
        <f t="shared" si="76"/>
        <v>471.5</v>
      </c>
      <c r="U218" s="9">
        <f t="shared" si="82"/>
        <v>5233.4949647484373</v>
      </c>
      <c r="V218" s="88">
        <f t="shared" si="89"/>
        <v>1308.3737411871093</v>
      </c>
      <c r="W218" s="42">
        <v>7172</v>
      </c>
      <c r="X218" s="71">
        <v>7171.5</v>
      </c>
      <c r="Y218" s="60">
        <f t="shared" si="83"/>
        <v>1.0000697204211113</v>
      </c>
      <c r="Z218" s="60">
        <f t="shared" si="81"/>
        <v>6.9720421111307829E-5</v>
      </c>
      <c r="AA218" s="14"/>
      <c r="AC218" s="16"/>
      <c r="AD218" s="5"/>
      <c r="AE218" s="5"/>
      <c r="AF218" s="5"/>
      <c r="AG218" s="5"/>
      <c r="AH218" s="5"/>
    </row>
    <row r="219" spans="1:34" s="47" customFormat="1" ht="15" customHeight="1" x14ac:dyDescent="0.2">
      <c r="A219" s="36" t="s">
        <v>555</v>
      </c>
      <c r="B219" s="70" t="s">
        <v>783</v>
      </c>
      <c r="C219" s="21">
        <v>942048</v>
      </c>
      <c r="D219" s="7">
        <v>1925</v>
      </c>
      <c r="E219" s="7">
        <v>35</v>
      </c>
      <c r="F219" s="62">
        <f t="shared" si="91"/>
        <v>285.46909090909088</v>
      </c>
      <c r="G219" s="33">
        <v>471732</v>
      </c>
      <c r="H219" s="61">
        <v>1925</v>
      </c>
      <c r="I219" s="7">
        <v>656</v>
      </c>
      <c r="J219" s="62">
        <f t="shared" si="92"/>
        <v>2679.2743896103893</v>
      </c>
      <c r="K219" s="7">
        <v>6656104</v>
      </c>
      <c r="L219" s="7">
        <v>846720</v>
      </c>
      <c r="M219" s="7">
        <f t="shared" si="93"/>
        <v>164</v>
      </c>
      <c r="N219" s="88">
        <f t="shared" si="86"/>
        <v>1289.2113756613755</v>
      </c>
      <c r="O219" s="88">
        <f t="shared" si="87"/>
        <v>4253.954856180856</v>
      </c>
      <c r="P219" s="88">
        <f t="shared" si="90"/>
        <v>1284.6943665666186</v>
      </c>
      <c r="Q219" s="69">
        <f t="shared" si="88"/>
        <v>4339.0339533044735</v>
      </c>
      <c r="R219" s="63">
        <v>1331.2</v>
      </c>
      <c r="S219" s="63">
        <f t="shared" si="94"/>
        <v>1331.2</v>
      </c>
      <c r="T219" s="78">
        <f t="shared" si="76"/>
        <v>1331.2</v>
      </c>
      <c r="U219" s="9">
        <f t="shared" si="82"/>
        <v>12498.094551713324</v>
      </c>
      <c r="V219" s="88">
        <f t="shared" si="89"/>
        <v>3124.523637928331</v>
      </c>
      <c r="W219" s="42">
        <v>18738</v>
      </c>
      <c r="X219" s="71">
        <v>18738.3</v>
      </c>
      <c r="Y219" s="60">
        <f t="shared" si="83"/>
        <v>0.99998399000976612</v>
      </c>
      <c r="Z219" s="60">
        <f t="shared" si="81"/>
        <v>-1.6009990233878391E-5</v>
      </c>
      <c r="AA219" s="14"/>
      <c r="AC219" s="16"/>
      <c r="AD219" s="5"/>
      <c r="AE219" s="5"/>
      <c r="AF219" s="5"/>
      <c r="AG219" s="5"/>
      <c r="AH219" s="5"/>
    </row>
    <row r="220" spans="1:34" s="47" customFormat="1" ht="15" customHeight="1" x14ac:dyDescent="0.2">
      <c r="A220" s="36" t="s">
        <v>556</v>
      </c>
      <c r="B220" s="70" t="s">
        <v>796</v>
      </c>
      <c r="C220" s="21">
        <v>942048</v>
      </c>
      <c r="D220" s="61">
        <v>1925</v>
      </c>
      <c r="E220" s="7">
        <v>35</v>
      </c>
      <c r="F220" s="62">
        <f t="shared" si="91"/>
        <v>285.46909090909088</v>
      </c>
      <c r="G220" s="33">
        <v>471732</v>
      </c>
      <c r="H220" s="61">
        <v>1925</v>
      </c>
      <c r="I220" s="7">
        <v>464</v>
      </c>
      <c r="J220" s="62">
        <f t="shared" si="92"/>
        <v>1895.0965194805194</v>
      </c>
      <c r="K220" s="7">
        <v>6656104</v>
      </c>
      <c r="L220" s="7">
        <v>846720</v>
      </c>
      <c r="M220" s="7">
        <f t="shared" si="93"/>
        <v>116</v>
      </c>
      <c r="N220" s="88">
        <f t="shared" si="86"/>
        <v>911.88121693121684</v>
      </c>
      <c r="O220" s="88">
        <f t="shared" si="87"/>
        <v>3092.4468273208272</v>
      </c>
      <c r="P220" s="88">
        <f t="shared" si="90"/>
        <v>933.91894185088984</v>
      </c>
      <c r="Q220" s="69">
        <f t="shared" si="88"/>
        <v>3154.2957638672437</v>
      </c>
      <c r="R220" s="63">
        <v>1030.7</v>
      </c>
      <c r="S220" s="63">
        <f t="shared" si="94"/>
        <v>1030.7</v>
      </c>
      <c r="T220" s="78">
        <f t="shared" si="76"/>
        <v>1030.7</v>
      </c>
      <c r="U220" s="9">
        <f t="shared" si="82"/>
        <v>9123.2427499701789</v>
      </c>
      <c r="V220" s="88">
        <f t="shared" si="89"/>
        <v>2280.8106874925447</v>
      </c>
      <c r="W220" s="42">
        <v>12134</v>
      </c>
      <c r="X220" s="71">
        <v>12133.8</v>
      </c>
      <c r="Y220" s="60">
        <f t="shared" si="83"/>
        <v>1.0000164828825266</v>
      </c>
      <c r="Z220" s="60">
        <f t="shared" si="81"/>
        <v>1.6482882526647202E-5</v>
      </c>
      <c r="AA220" s="14"/>
      <c r="AC220" s="16"/>
      <c r="AD220" s="5"/>
      <c r="AE220" s="5"/>
      <c r="AF220" s="5"/>
      <c r="AG220" s="5"/>
      <c r="AH220" s="5"/>
    </row>
    <row r="221" spans="1:34" s="47" customFormat="1" ht="15" customHeight="1" x14ac:dyDescent="0.2">
      <c r="A221" s="36" t="s">
        <v>557</v>
      </c>
      <c r="B221" s="70" t="s">
        <v>795</v>
      </c>
      <c r="C221" s="21">
        <v>942048</v>
      </c>
      <c r="D221" s="7">
        <v>1925</v>
      </c>
      <c r="E221" s="7">
        <v>35</v>
      </c>
      <c r="F221" s="62">
        <f t="shared" si="91"/>
        <v>285.46909090909088</v>
      </c>
      <c r="G221" s="33">
        <v>471732</v>
      </c>
      <c r="H221" s="61">
        <v>1925</v>
      </c>
      <c r="I221" s="7">
        <v>656</v>
      </c>
      <c r="J221" s="62">
        <f t="shared" si="92"/>
        <v>2679.2743896103893</v>
      </c>
      <c r="K221" s="7">
        <v>6656104</v>
      </c>
      <c r="L221" s="7">
        <v>846720</v>
      </c>
      <c r="M221" s="7">
        <f t="shared" si="93"/>
        <v>164</v>
      </c>
      <c r="N221" s="88">
        <f t="shared" si="86"/>
        <v>1289.2113756613755</v>
      </c>
      <c r="O221" s="88">
        <f t="shared" si="87"/>
        <v>4253.954856180856</v>
      </c>
      <c r="P221" s="88">
        <f t="shared" si="90"/>
        <v>1284.6943665666186</v>
      </c>
      <c r="Q221" s="69">
        <f t="shared" si="88"/>
        <v>4339.0339533044735</v>
      </c>
      <c r="R221" s="63">
        <v>1331.2</v>
      </c>
      <c r="S221" s="63">
        <f t="shared" si="94"/>
        <v>1331.2</v>
      </c>
      <c r="T221" s="78">
        <f t="shared" si="76"/>
        <v>1331.2</v>
      </c>
      <c r="U221" s="9">
        <f t="shared" si="82"/>
        <v>12498.094551713324</v>
      </c>
      <c r="V221" s="88">
        <f t="shared" si="89"/>
        <v>3124.523637928331</v>
      </c>
      <c r="W221" s="42">
        <v>19541</v>
      </c>
      <c r="X221" s="71">
        <v>19540.5</v>
      </c>
      <c r="Y221" s="60">
        <f t="shared" si="83"/>
        <v>1.0000255878815794</v>
      </c>
      <c r="Z221" s="60">
        <f t="shared" si="81"/>
        <v>2.5587881579358651E-5</v>
      </c>
      <c r="AA221" s="14"/>
      <c r="AC221" s="16"/>
      <c r="AD221" s="5"/>
      <c r="AE221" s="5"/>
      <c r="AF221" s="5"/>
      <c r="AG221" s="5"/>
      <c r="AH221" s="5"/>
    </row>
    <row r="222" spans="1:34" s="47" customFormat="1" ht="15" customHeight="1" x14ac:dyDescent="0.2">
      <c r="A222" s="36" t="s">
        <v>904</v>
      </c>
      <c r="B222" s="70" t="s">
        <v>797</v>
      </c>
      <c r="C222" s="21">
        <v>942048</v>
      </c>
      <c r="D222" s="61">
        <v>1925</v>
      </c>
      <c r="E222" s="7">
        <v>35</v>
      </c>
      <c r="F222" s="62">
        <f t="shared" si="91"/>
        <v>285.46909090909088</v>
      </c>
      <c r="G222" s="33">
        <v>471732</v>
      </c>
      <c r="H222" s="61">
        <v>1925</v>
      </c>
      <c r="I222" s="7">
        <v>464</v>
      </c>
      <c r="J222" s="62">
        <f t="shared" si="92"/>
        <v>1895.0965194805194</v>
      </c>
      <c r="K222" s="7">
        <v>6656104</v>
      </c>
      <c r="L222" s="7">
        <v>846720</v>
      </c>
      <c r="M222" s="7">
        <f t="shared" si="93"/>
        <v>116</v>
      </c>
      <c r="N222" s="88">
        <f t="shared" si="86"/>
        <v>911.88121693121684</v>
      </c>
      <c r="O222" s="88">
        <f t="shared" si="87"/>
        <v>3092.4468273208272</v>
      </c>
      <c r="P222" s="88">
        <f t="shared" si="90"/>
        <v>933.91894185088984</v>
      </c>
      <c r="Q222" s="69">
        <f t="shared" si="88"/>
        <v>3154.2957638672437</v>
      </c>
      <c r="R222" s="63">
        <v>1030.7</v>
      </c>
      <c r="S222" s="63">
        <f t="shared" si="94"/>
        <v>1030.7</v>
      </c>
      <c r="T222" s="78">
        <f t="shared" si="76"/>
        <v>1030.7</v>
      </c>
      <c r="U222" s="9">
        <f t="shared" si="82"/>
        <v>9123.2427499701789</v>
      </c>
      <c r="V222" s="88">
        <f t="shared" si="89"/>
        <v>2280.8106874925447</v>
      </c>
      <c r="W222" s="42">
        <v>11407</v>
      </c>
      <c r="X222" s="71">
        <v>11407.2</v>
      </c>
      <c r="Y222" s="60">
        <f t="shared" si="83"/>
        <v>0.99998246721368955</v>
      </c>
      <c r="Z222" s="60">
        <f t="shared" si="81"/>
        <v>-1.7532786310447968E-5</v>
      </c>
      <c r="AA222" s="14"/>
      <c r="AC222" s="16"/>
      <c r="AD222" s="5"/>
      <c r="AE222" s="5"/>
      <c r="AF222" s="5"/>
      <c r="AG222" s="5"/>
      <c r="AH222" s="5"/>
    </row>
    <row r="223" spans="1:34" s="47" customFormat="1" ht="15" customHeight="1" x14ac:dyDescent="0.2">
      <c r="A223" s="36" t="s">
        <v>905</v>
      </c>
      <c r="B223" s="70" t="s">
        <v>784</v>
      </c>
      <c r="C223" s="21">
        <v>942048</v>
      </c>
      <c r="D223" s="7">
        <v>1925</v>
      </c>
      <c r="E223" s="7">
        <v>35</v>
      </c>
      <c r="F223" s="62">
        <f t="shared" si="91"/>
        <v>285.46909090909088</v>
      </c>
      <c r="G223" s="33">
        <v>471732</v>
      </c>
      <c r="H223" s="61">
        <v>1925</v>
      </c>
      <c r="I223" s="7">
        <v>714</v>
      </c>
      <c r="J223" s="62">
        <f t="shared" si="92"/>
        <v>2916.1614545454545</v>
      </c>
      <c r="K223" s="7">
        <v>6656104</v>
      </c>
      <c r="L223" s="7">
        <v>846720</v>
      </c>
      <c r="M223" s="7">
        <f t="shared" si="93"/>
        <v>178.5</v>
      </c>
      <c r="N223" s="88">
        <f t="shared" si="86"/>
        <v>1403.1965277777776</v>
      </c>
      <c r="O223" s="88">
        <f t="shared" si="87"/>
        <v>4604.8270732323235</v>
      </c>
      <c r="P223" s="88">
        <f t="shared" si="90"/>
        <v>1390.6577761161616</v>
      </c>
      <c r="Q223" s="69">
        <f t="shared" si="88"/>
        <v>4696.9236146969697</v>
      </c>
      <c r="R223" s="63">
        <v>1331.2</v>
      </c>
      <c r="S223" s="63">
        <f t="shared" si="94"/>
        <v>1331.2</v>
      </c>
      <c r="T223" s="78">
        <f t="shared" si="76"/>
        <v>1331.2</v>
      </c>
      <c r="U223" s="9">
        <f t="shared" si="82"/>
        <v>13426.804991823234</v>
      </c>
      <c r="V223" s="88">
        <f t="shared" si="89"/>
        <v>3356.7012479558084</v>
      </c>
      <c r="W223" s="42">
        <v>18297</v>
      </c>
      <c r="X223" s="71">
        <v>18297.3</v>
      </c>
      <c r="Y223" s="60">
        <f t="shared" si="83"/>
        <v>0.99998360413831555</v>
      </c>
      <c r="Z223" s="60">
        <f t="shared" si="81"/>
        <v>-1.6395861684448398E-5</v>
      </c>
      <c r="AA223" s="14"/>
      <c r="AC223" s="16"/>
      <c r="AD223" s="5"/>
      <c r="AE223" s="5"/>
      <c r="AF223" s="5"/>
      <c r="AG223" s="5"/>
      <c r="AH223" s="5"/>
    </row>
    <row r="224" spans="1:34" s="47" customFormat="1" ht="15" customHeight="1" x14ac:dyDescent="0.2">
      <c r="A224" s="36" t="s">
        <v>558</v>
      </c>
      <c r="B224" s="70" t="s">
        <v>785</v>
      </c>
      <c r="C224" s="21">
        <v>942048</v>
      </c>
      <c r="D224" s="61">
        <v>1925</v>
      </c>
      <c r="E224" s="7">
        <v>35</v>
      </c>
      <c r="F224" s="62">
        <f t="shared" si="91"/>
        <v>285.46909090909088</v>
      </c>
      <c r="G224" s="33">
        <v>471732</v>
      </c>
      <c r="H224" s="61">
        <v>1925</v>
      </c>
      <c r="I224" s="7">
        <v>542</v>
      </c>
      <c r="J224" s="62">
        <f t="shared" si="92"/>
        <v>2213.668779220779</v>
      </c>
      <c r="K224" s="7">
        <v>6656104</v>
      </c>
      <c r="L224" s="7">
        <v>846720</v>
      </c>
      <c r="M224" s="7">
        <f t="shared" si="93"/>
        <v>135.5</v>
      </c>
      <c r="N224" s="88">
        <f t="shared" si="86"/>
        <v>1065.1715939153439</v>
      </c>
      <c r="O224" s="88">
        <f t="shared" si="87"/>
        <v>3564.3094640452136</v>
      </c>
      <c r="P224" s="88">
        <f t="shared" si="90"/>
        <v>1076.4214581416545</v>
      </c>
      <c r="Q224" s="69">
        <f t="shared" si="88"/>
        <v>3635.5956533261178</v>
      </c>
      <c r="R224" s="63">
        <v>1030.7</v>
      </c>
      <c r="S224" s="63">
        <f t="shared" si="94"/>
        <v>1030.7</v>
      </c>
      <c r="T224" s="78">
        <f t="shared" si="76"/>
        <v>1030.7</v>
      </c>
      <c r="U224" s="9">
        <f t="shared" si="82"/>
        <v>10372.198169428331</v>
      </c>
      <c r="V224" s="88">
        <f t="shared" si="89"/>
        <v>2593.0495423570828</v>
      </c>
      <c r="W224" s="42">
        <v>11054</v>
      </c>
      <c r="X224" s="71">
        <v>11054.4</v>
      </c>
      <c r="Y224" s="60">
        <f t="shared" si="83"/>
        <v>0.99996381531335943</v>
      </c>
      <c r="Z224" s="60">
        <f t="shared" si="81"/>
        <v>-3.6184686640572394E-5</v>
      </c>
      <c r="AA224" s="14"/>
      <c r="AC224" s="16"/>
      <c r="AD224" s="5"/>
      <c r="AE224" s="5"/>
      <c r="AF224" s="5"/>
      <c r="AG224" s="5"/>
      <c r="AH224" s="5"/>
    </row>
    <row r="225" spans="1:34" s="47" customFormat="1" ht="15" customHeight="1" x14ac:dyDescent="0.2">
      <c r="A225" s="36" t="s">
        <v>862</v>
      </c>
      <c r="B225" s="70" t="s">
        <v>786</v>
      </c>
      <c r="C225" s="21">
        <v>942048</v>
      </c>
      <c r="D225" s="7">
        <v>1925</v>
      </c>
      <c r="E225" s="7">
        <v>35</v>
      </c>
      <c r="F225" s="62">
        <f t="shared" si="91"/>
        <v>285.46909090909088</v>
      </c>
      <c r="G225" s="33">
        <v>471732</v>
      </c>
      <c r="H225" s="61">
        <v>1925</v>
      </c>
      <c r="I225" s="7">
        <v>480</v>
      </c>
      <c r="J225" s="62">
        <f t="shared" si="92"/>
        <v>1960.4446753246752</v>
      </c>
      <c r="K225" s="7">
        <v>6656104</v>
      </c>
      <c r="L225" s="7">
        <v>846720</v>
      </c>
      <c r="M225" s="7">
        <f t="shared" si="93"/>
        <v>120</v>
      </c>
      <c r="N225" s="88">
        <f t="shared" si="86"/>
        <v>943.32539682539675</v>
      </c>
      <c r="O225" s="88">
        <f t="shared" si="87"/>
        <v>3189.2391630591628</v>
      </c>
      <c r="P225" s="88">
        <f t="shared" si="90"/>
        <v>963.15022724386711</v>
      </c>
      <c r="Q225" s="69">
        <f t="shared" si="88"/>
        <v>3253.0239463203461</v>
      </c>
      <c r="R225" s="63">
        <v>37.92</v>
      </c>
      <c r="S225" s="63">
        <f t="shared" si="94"/>
        <v>37.92</v>
      </c>
      <c r="T225" s="78">
        <f t="shared" si="76"/>
        <v>37.92</v>
      </c>
      <c r="U225" s="9">
        <f t="shared" si="82"/>
        <v>8386.6587334487722</v>
      </c>
      <c r="V225" s="88">
        <f t="shared" si="89"/>
        <v>2096.664683362193</v>
      </c>
      <c r="W225" s="42">
        <v>23934</v>
      </c>
      <c r="X225" s="71">
        <v>23933.7</v>
      </c>
      <c r="Y225" s="60">
        <f t="shared" si="83"/>
        <v>1.0000125346269069</v>
      </c>
      <c r="Z225" s="60">
        <f t="shared" si="81"/>
        <v>1.253462690686824E-5</v>
      </c>
      <c r="AA225" s="14"/>
      <c r="AC225" s="16"/>
      <c r="AD225" s="5"/>
      <c r="AE225" s="5"/>
      <c r="AF225" s="5"/>
      <c r="AG225" s="5"/>
      <c r="AH225" s="5"/>
    </row>
    <row r="226" spans="1:34" s="47" customFormat="1" ht="15" customHeight="1" x14ac:dyDescent="0.2">
      <c r="A226" s="36" t="s">
        <v>559</v>
      </c>
      <c r="B226" s="70" t="s">
        <v>782</v>
      </c>
      <c r="C226" s="21">
        <v>942048</v>
      </c>
      <c r="D226" s="7">
        <v>1925</v>
      </c>
      <c r="E226" s="7">
        <v>35</v>
      </c>
      <c r="F226" s="62">
        <f t="shared" si="91"/>
        <v>285.46909090909088</v>
      </c>
      <c r="G226" s="33">
        <v>471732</v>
      </c>
      <c r="H226" s="61">
        <v>1925</v>
      </c>
      <c r="I226" s="7">
        <v>448</v>
      </c>
      <c r="J226" s="62">
        <f t="shared" si="92"/>
        <v>1829.7483636363636</v>
      </c>
      <c r="K226" s="7">
        <v>6656104</v>
      </c>
      <c r="L226" s="7">
        <v>846720</v>
      </c>
      <c r="M226" s="7">
        <f t="shared" si="93"/>
        <v>112</v>
      </c>
      <c r="N226" s="88">
        <f t="shared" si="86"/>
        <v>880.43703703703704</v>
      </c>
      <c r="O226" s="88">
        <f t="shared" si="87"/>
        <v>2995.6544915824916</v>
      </c>
      <c r="P226" s="88">
        <f t="shared" si="90"/>
        <v>904.68765645791245</v>
      </c>
      <c r="Q226" s="69">
        <f t="shared" si="88"/>
        <v>3055.5675814141414</v>
      </c>
      <c r="R226" s="63">
        <v>1030.7</v>
      </c>
      <c r="S226" s="63">
        <f t="shared" si="94"/>
        <v>1030.7</v>
      </c>
      <c r="T226" s="78">
        <f t="shared" si="76"/>
        <v>1030.7</v>
      </c>
      <c r="U226" s="9">
        <f t="shared" si="82"/>
        <v>8867.0467664915832</v>
      </c>
      <c r="V226" s="88">
        <f t="shared" si="89"/>
        <v>2216.7616916228958</v>
      </c>
      <c r="W226" s="42">
        <v>12982</v>
      </c>
      <c r="X226" s="71">
        <v>12982.2</v>
      </c>
      <c r="Y226" s="60">
        <f t="shared" si="83"/>
        <v>0.99998459429064401</v>
      </c>
      <c r="Z226" s="60">
        <f t="shared" si="81"/>
        <v>-1.540570935598673E-5</v>
      </c>
      <c r="AA226" s="14"/>
      <c r="AC226" s="16"/>
      <c r="AD226" s="5"/>
      <c r="AE226" s="5"/>
      <c r="AF226" s="5"/>
      <c r="AG226" s="5"/>
      <c r="AH226" s="5"/>
    </row>
    <row r="227" spans="1:34" s="47" customFormat="1" ht="15" customHeight="1" x14ac:dyDescent="0.2">
      <c r="A227" s="36" t="s">
        <v>560</v>
      </c>
      <c r="B227" s="70" t="s">
        <v>787</v>
      </c>
      <c r="C227" s="21">
        <v>942048</v>
      </c>
      <c r="D227" s="61">
        <v>1925</v>
      </c>
      <c r="E227" s="7">
        <v>35</v>
      </c>
      <c r="F227" s="62">
        <f t="shared" si="91"/>
        <v>285.46909090909088</v>
      </c>
      <c r="G227" s="33">
        <v>471732</v>
      </c>
      <c r="H227" s="61">
        <v>1925</v>
      </c>
      <c r="I227" s="7">
        <v>256</v>
      </c>
      <c r="J227" s="62">
        <f t="shared" si="92"/>
        <v>1045.5704935064934</v>
      </c>
      <c r="K227" s="7">
        <v>6656104</v>
      </c>
      <c r="L227" s="7">
        <v>846720</v>
      </c>
      <c r="M227" s="7">
        <f t="shared" si="93"/>
        <v>64</v>
      </c>
      <c r="N227" s="88">
        <f t="shared" si="86"/>
        <v>503.10687830687829</v>
      </c>
      <c r="O227" s="88">
        <f t="shared" si="87"/>
        <v>1834.1464627224627</v>
      </c>
      <c r="P227" s="88">
        <f t="shared" si="90"/>
        <v>553.91223174218374</v>
      </c>
      <c r="Q227" s="69">
        <f t="shared" si="88"/>
        <v>1870.8293919769121</v>
      </c>
      <c r="R227" s="63">
        <v>471.5</v>
      </c>
      <c r="S227" s="63">
        <f t="shared" si="94"/>
        <v>471.5</v>
      </c>
      <c r="T227" s="78">
        <f t="shared" si="76"/>
        <v>471.5</v>
      </c>
      <c r="U227" s="9">
        <f t="shared" si="82"/>
        <v>5233.4949647484373</v>
      </c>
      <c r="V227" s="88">
        <f t="shared" si="89"/>
        <v>1308.3737411871093</v>
      </c>
      <c r="W227" s="42">
        <v>6582</v>
      </c>
      <c r="X227" s="71">
        <v>6582.45</v>
      </c>
      <c r="Y227" s="60">
        <f t="shared" si="83"/>
        <v>0.9999316363967824</v>
      </c>
      <c r="Z227" s="60">
        <f t="shared" si="81"/>
        <v>-6.8363603217602709E-5</v>
      </c>
      <c r="AA227" s="14"/>
      <c r="AC227" s="16"/>
      <c r="AD227" s="5"/>
      <c r="AE227" s="5"/>
      <c r="AF227" s="5"/>
      <c r="AG227" s="5"/>
      <c r="AH227" s="5"/>
    </row>
    <row r="228" spans="1:34" s="47" customFormat="1" ht="15" customHeight="1" x14ac:dyDescent="0.2">
      <c r="A228" s="36" t="s">
        <v>561</v>
      </c>
      <c r="B228" s="70" t="s">
        <v>798</v>
      </c>
      <c r="C228" s="21">
        <v>942048</v>
      </c>
      <c r="D228" s="7">
        <v>1925</v>
      </c>
      <c r="E228" s="7">
        <v>35</v>
      </c>
      <c r="F228" s="62">
        <f t="shared" si="91"/>
        <v>285.46909090909088</v>
      </c>
      <c r="G228" s="33">
        <v>471732</v>
      </c>
      <c r="H228" s="61">
        <v>1925</v>
      </c>
      <c r="I228" s="7">
        <v>656</v>
      </c>
      <c r="J228" s="62">
        <f t="shared" si="92"/>
        <v>2679.2743896103893</v>
      </c>
      <c r="K228" s="7">
        <v>6656104</v>
      </c>
      <c r="L228" s="7">
        <v>846720</v>
      </c>
      <c r="M228" s="7">
        <f t="shared" si="93"/>
        <v>164</v>
      </c>
      <c r="N228" s="88">
        <f t="shared" si="86"/>
        <v>1289.2113756613755</v>
      </c>
      <c r="O228" s="88">
        <f t="shared" si="87"/>
        <v>4253.954856180856</v>
      </c>
      <c r="P228" s="88">
        <f t="shared" si="90"/>
        <v>1284.6943665666186</v>
      </c>
      <c r="Q228" s="69">
        <f t="shared" si="88"/>
        <v>4339.0339533044735</v>
      </c>
      <c r="R228" s="63">
        <v>1331.2</v>
      </c>
      <c r="S228" s="63">
        <f t="shared" si="94"/>
        <v>1331.2</v>
      </c>
      <c r="T228" s="78">
        <f t="shared" si="76"/>
        <v>1331.2</v>
      </c>
      <c r="U228" s="9">
        <f t="shared" si="82"/>
        <v>12498.094551713324</v>
      </c>
      <c r="V228" s="88">
        <f t="shared" si="89"/>
        <v>3124.523637928331</v>
      </c>
      <c r="W228" s="42">
        <v>15861</v>
      </c>
      <c r="X228" s="71">
        <v>15861.3</v>
      </c>
      <c r="Y228" s="60">
        <f t="shared" si="83"/>
        <v>0.99998108603960589</v>
      </c>
      <c r="Z228" s="60">
        <f t="shared" si="81"/>
        <v>-1.8913960394106866E-5</v>
      </c>
      <c r="AA228" s="14"/>
      <c r="AC228" s="16"/>
      <c r="AD228" s="5"/>
      <c r="AE228" s="5"/>
      <c r="AF228" s="5"/>
      <c r="AG228" s="5"/>
      <c r="AH228" s="5"/>
    </row>
    <row r="229" spans="1:34" s="47" customFormat="1" ht="15" customHeight="1" x14ac:dyDescent="0.2">
      <c r="A229" s="36" t="s">
        <v>562</v>
      </c>
      <c r="B229" s="70" t="s">
        <v>799</v>
      </c>
      <c r="C229" s="21">
        <v>942048</v>
      </c>
      <c r="D229" s="61">
        <v>1925</v>
      </c>
      <c r="E229" s="7">
        <v>35</v>
      </c>
      <c r="F229" s="62">
        <f t="shared" si="91"/>
        <v>285.46909090909088</v>
      </c>
      <c r="G229" s="33">
        <v>471732</v>
      </c>
      <c r="H229" s="61">
        <v>1925</v>
      </c>
      <c r="I229" s="7">
        <v>464</v>
      </c>
      <c r="J229" s="62">
        <f t="shared" si="92"/>
        <v>1895.0965194805194</v>
      </c>
      <c r="K229" s="7">
        <v>6656104</v>
      </c>
      <c r="L229" s="7">
        <v>846720</v>
      </c>
      <c r="M229" s="7">
        <f t="shared" si="93"/>
        <v>116</v>
      </c>
      <c r="N229" s="88">
        <f t="shared" si="86"/>
        <v>911.88121693121684</v>
      </c>
      <c r="O229" s="88">
        <f t="shared" si="87"/>
        <v>3092.4468273208272</v>
      </c>
      <c r="P229" s="88">
        <f t="shared" si="90"/>
        <v>933.91894185088984</v>
      </c>
      <c r="Q229" s="69">
        <f t="shared" si="88"/>
        <v>3154.2957638672437</v>
      </c>
      <c r="R229" s="63">
        <v>1030.7</v>
      </c>
      <c r="S229" s="63">
        <f t="shared" si="94"/>
        <v>1030.7</v>
      </c>
      <c r="T229" s="78">
        <f t="shared" si="76"/>
        <v>1030.7</v>
      </c>
      <c r="U229" s="9">
        <f t="shared" si="82"/>
        <v>9123.2427499701789</v>
      </c>
      <c r="V229" s="88">
        <f t="shared" si="89"/>
        <v>2280.8106874925447</v>
      </c>
      <c r="W229" s="42">
        <v>12850</v>
      </c>
      <c r="X229" s="71">
        <v>12849.9</v>
      </c>
      <c r="Y229" s="60">
        <f t="shared" si="83"/>
        <v>1.0000077821617288</v>
      </c>
      <c r="Z229" s="60">
        <f t="shared" si="81"/>
        <v>7.7821617288087452E-6</v>
      </c>
      <c r="AA229" s="14"/>
      <c r="AC229" s="16"/>
      <c r="AD229" s="5"/>
      <c r="AE229" s="5"/>
      <c r="AF229" s="5"/>
      <c r="AG229" s="5"/>
      <c r="AH229" s="5"/>
    </row>
    <row r="230" spans="1:34" s="47" customFormat="1" ht="15" customHeight="1" x14ac:dyDescent="0.2">
      <c r="A230" s="36" t="s">
        <v>563</v>
      </c>
      <c r="B230" s="70" t="s">
        <v>800</v>
      </c>
      <c r="C230" s="21">
        <v>942048</v>
      </c>
      <c r="D230" s="7">
        <v>1925</v>
      </c>
      <c r="E230" s="7">
        <v>35</v>
      </c>
      <c r="F230" s="62">
        <f t="shared" si="91"/>
        <v>285.46909090909088</v>
      </c>
      <c r="G230" s="33">
        <v>471732</v>
      </c>
      <c r="H230" s="61">
        <v>1925</v>
      </c>
      <c r="I230" s="7">
        <v>656</v>
      </c>
      <c r="J230" s="62">
        <f t="shared" si="92"/>
        <v>2679.2743896103893</v>
      </c>
      <c r="K230" s="7">
        <v>6656104</v>
      </c>
      <c r="L230" s="7">
        <v>846720</v>
      </c>
      <c r="M230" s="7">
        <f t="shared" si="93"/>
        <v>164</v>
      </c>
      <c r="N230" s="88">
        <f t="shared" si="86"/>
        <v>1289.2113756613755</v>
      </c>
      <c r="O230" s="88">
        <f t="shared" si="87"/>
        <v>4253.954856180856</v>
      </c>
      <c r="P230" s="88">
        <f t="shared" si="90"/>
        <v>1284.6943665666186</v>
      </c>
      <c r="Q230" s="69">
        <f t="shared" si="88"/>
        <v>4339.0339533044735</v>
      </c>
      <c r="R230" s="63">
        <v>1331.2</v>
      </c>
      <c r="S230" s="63">
        <f t="shared" si="94"/>
        <v>1331.2</v>
      </c>
      <c r="T230" s="78">
        <f t="shared" si="76"/>
        <v>1331.2</v>
      </c>
      <c r="U230" s="9">
        <f t="shared" si="82"/>
        <v>12498.094551713324</v>
      </c>
      <c r="V230" s="88">
        <f t="shared" si="89"/>
        <v>3124.523637928331</v>
      </c>
      <c r="W230" s="42">
        <v>15471</v>
      </c>
      <c r="X230" s="71">
        <v>15470.7</v>
      </c>
      <c r="Y230" s="60">
        <f t="shared" si="83"/>
        <v>1.0000193914948903</v>
      </c>
      <c r="Z230" s="60">
        <f t="shared" si="81"/>
        <v>1.9391494890275141E-5</v>
      </c>
      <c r="AA230" s="14"/>
      <c r="AC230" s="16"/>
      <c r="AD230" s="5"/>
      <c r="AE230" s="5"/>
      <c r="AF230" s="5"/>
      <c r="AG230" s="5"/>
      <c r="AH230" s="5"/>
    </row>
    <row r="231" spans="1:34" s="47" customFormat="1" ht="15" customHeight="1" x14ac:dyDescent="0.2">
      <c r="A231" s="36" t="s">
        <v>564</v>
      </c>
      <c r="B231" s="70" t="s">
        <v>801</v>
      </c>
      <c r="C231" s="21">
        <v>942048</v>
      </c>
      <c r="D231" s="61">
        <v>1925</v>
      </c>
      <c r="E231" s="7">
        <v>35</v>
      </c>
      <c r="F231" s="62">
        <f t="shared" si="91"/>
        <v>285.46909090909088</v>
      </c>
      <c r="G231" s="33">
        <v>471732</v>
      </c>
      <c r="H231" s="61">
        <v>1925</v>
      </c>
      <c r="I231" s="7">
        <v>256</v>
      </c>
      <c r="J231" s="62">
        <f t="shared" si="92"/>
        <v>1045.5704935064934</v>
      </c>
      <c r="K231" s="7">
        <v>6656104</v>
      </c>
      <c r="L231" s="7">
        <v>846720</v>
      </c>
      <c r="M231" s="7">
        <f t="shared" si="93"/>
        <v>64</v>
      </c>
      <c r="N231" s="88">
        <f t="shared" si="86"/>
        <v>503.10687830687829</v>
      </c>
      <c r="O231" s="88">
        <f t="shared" si="87"/>
        <v>1834.1464627224627</v>
      </c>
      <c r="P231" s="88">
        <f t="shared" si="90"/>
        <v>553.91223174218374</v>
      </c>
      <c r="Q231" s="69">
        <f t="shared" si="88"/>
        <v>1870.8293919769121</v>
      </c>
      <c r="R231" s="63">
        <v>471.5</v>
      </c>
      <c r="S231" s="63">
        <f t="shared" si="94"/>
        <v>471.5</v>
      </c>
      <c r="T231" s="78">
        <f t="shared" si="76"/>
        <v>471.5</v>
      </c>
      <c r="U231" s="9">
        <f t="shared" si="82"/>
        <v>5233.4949647484373</v>
      </c>
      <c r="V231" s="88">
        <f t="shared" si="89"/>
        <v>1308.3737411871093</v>
      </c>
      <c r="W231" s="42">
        <v>7117</v>
      </c>
      <c r="X231" s="71">
        <v>7116.9</v>
      </c>
      <c r="Y231" s="60">
        <f t="shared" si="83"/>
        <v>1.0000140510615578</v>
      </c>
      <c r="Z231" s="60">
        <f t="shared" si="81"/>
        <v>1.4051061557829314E-5</v>
      </c>
      <c r="AA231" s="14"/>
      <c r="AC231" s="16"/>
      <c r="AD231" s="5"/>
      <c r="AE231" s="5"/>
      <c r="AF231" s="5"/>
      <c r="AG231" s="5"/>
      <c r="AH231" s="5"/>
    </row>
    <row r="232" spans="1:34" s="47" customFormat="1" ht="15" customHeight="1" x14ac:dyDescent="0.2">
      <c r="A232" s="36" t="s">
        <v>565</v>
      </c>
      <c r="B232" s="70" t="s">
        <v>803</v>
      </c>
      <c r="C232" s="21">
        <v>942048</v>
      </c>
      <c r="D232" s="7">
        <v>1925</v>
      </c>
      <c r="E232" s="7">
        <v>35</v>
      </c>
      <c r="F232" s="62">
        <f t="shared" si="91"/>
        <v>285.46909090909088</v>
      </c>
      <c r="G232" s="33">
        <v>471732</v>
      </c>
      <c r="H232" s="61">
        <v>1925</v>
      </c>
      <c r="I232" s="7">
        <v>656</v>
      </c>
      <c r="J232" s="62">
        <f t="shared" si="92"/>
        <v>2679.2743896103893</v>
      </c>
      <c r="K232" s="7">
        <v>6656104</v>
      </c>
      <c r="L232" s="7">
        <v>846720</v>
      </c>
      <c r="M232" s="7">
        <f t="shared" si="93"/>
        <v>164</v>
      </c>
      <c r="N232" s="88">
        <f t="shared" si="86"/>
        <v>1289.2113756613755</v>
      </c>
      <c r="O232" s="88">
        <f t="shared" si="87"/>
        <v>4253.954856180856</v>
      </c>
      <c r="P232" s="88">
        <f t="shared" si="90"/>
        <v>1284.6943665666186</v>
      </c>
      <c r="Q232" s="69">
        <f t="shared" si="88"/>
        <v>4339.0339533044735</v>
      </c>
      <c r="R232" s="63">
        <v>1331.2</v>
      </c>
      <c r="S232" s="63">
        <f t="shared" si="94"/>
        <v>1331.2</v>
      </c>
      <c r="T232" s="78">
        <f t="shared" si="76"/>
        <v>1331.2</v>
      </c>
      <c r="U232" s="9">
        <f t="shared" si="82"/>
        <v>12498.094551713324</v>
      </c>
      <c r="V232" s="88">
        <f t="shared" si="89"/>
        <v>3124.523637928331</v>
      </c>
      <c r="W232" s="42">
        <v>15912</v>
      </c>
      <c r="X232" s="71">
        <v>15911.7</v>
      </c>
      <c r="Y232" s="60">
        <f t="shared" si="83"/>
        <v>1.0000188540507928</v>
      </c>
      <c r="Z232" s="60">
        <f t="shared" si="81"/>
        <v>1.8854050792826982E-5</v>
      </c>
      <c r="AA232" s="14"/>
      <c r="AC232" s="16"/>
      <c r="AD232" s="5"/>
      <c r="AE232" s="5"/>
      <c r="AF232" s="5"/>
      <c r="AG232" s="5"/>
      <c r="AH232" s="5"/>
    </row>
    <row r="233" spans="1:34" s="47" customFormat="1" ht="15" customHeight="1" x14ac:dyDescent="0.2">
      <c r="A233" s="36" t="s">
        <v>566</v>
      </c>
      <c r="B233" s="70" t="s">
        <v>802</v>
      </c>
      <c r="C233" s="21">
        <v>942048</v>
      </c>
      <c r="D233" s="61">
        <v>1925</v>
      </c>
      <c r="E233" s="7">
        <v>35</v>
      </c>
      <c r="F233" s="62">
        <f t="shared" si="91"/>
        <v>285.46909090909088</v>
      </c>
      <c r="G233" s="33">
        <v>471732</v>
      </c>
      <c r="H233" s="61">
        <v>1925</v>
      </c>
      <c r="I233" s="7">
        <v>256</v>
      </c>
      <c r="J233" s="62">
        <f t="shared" si="92"/>
        <v>1045.5704935064934</v>
      </c>
      <c r="K233" s="7">
        <v>6656104</v>
      </c>
      <c r="L233" s="7">
        <v>846720</v>
      </c>
      <c r="M233" s="7">
        <f t="shared" si="93"/>
        <v>64</v>
      </c>
      <c r="N233" s="88">
        <f t="shared" si="86"/>
        <v>503.10687830687829</v>
      </c>
      <c r="O233" s="88">
        <f t="shared" si="87"/>
        <v>1834.1464627224627</v>
      </c>
      <c r="P233" s="88">
        <f t="shared" si="90"/>
        <v>553.91223174218374</v>
      </c>
      <c r="Q233" s="69">
        <f t="shared" si="88"/>
        <v>1870.8293919769121</v>
      </c>
      <c r="R233" s="63">
        <v>471.5</v>
      </c>
      <c r="S233" s="63">
        <f t="shared" si="94"/>
        <v>471.5</v>
      </c>
      <c r="T233" s="78">
        <f t="shared" si="76"/>
        <v>471.5</v>
      </c>
      <c r="U233" s="9">
        <f t="shared" si="82"/>
        <v>5233.4949647484373</v>
      </c>
      <c r="V233" s="88">
        <f t="shared" si="89"/>
        <v>1308.3737411871093</v>
      </c>
      <c r="W233" s="42">
        <v>6869</v>
      </c>
      <c r="X233" s="71">
        <v>6869.1</v>
      </c>
      <c r="Y233" s="60">
        <f t="shared" si="83"/>
        <v>0.99998544205208828</v>
      </c>
      <c r="Z233" s="60">
        <f t="shared" si="81"/>
        <v>-1.4557947911719715E-5</v>
      </c>
      <c r="AA233" s="14"/>
      <c r="AC233" s="16"/>
      <c r="AD233" s="5"/>
      <c r="AE233" s="5"/>
      <c r="AF233" s="5"/>
      <c r="AG233" s="5"/>
      <c r="AH233" s="5"/>
    </row>
    <row r="234" spans="1:34" s="47" customFormat="1" ht="15" customHeight="1" x14ac:dyDescent="0.2">
      <c r="A234" s="36" t="s">
        <v>567</v>
      </c>
      <c r="B234" s="70" t="s">
        <v>804</v>
      </c>
      <c r="C234" s="21">
        <v>942048</v>
      </c>
      <c r="D234" s="7">
        <v>1925</v>
      </c>
      <c r="E234" s="7">
        <v>35</v>
      </c>
      <c r="F234" s="62">
        <f t="shared" si="91"/>
        <v>285.46909090909088</v>
      </c>
      <c r="G234" s="33">
        <v>471732</v>
      </c>
      <c r="H234" s="61">
        <v>1925</v>
      </c>
      <c r="I234" s="7">
        <v>656</v>
      </c>
      <c r="J234" s="62">
        <f t="shared" si="92"/>
        <v>2679.2743896103893</v>
      </c>
      <c r="K234" s="7">
        <v>6656104</v>
      </c>
      <c r="L234" s="7">
        <v>846720</v>
      </c>
      <c r="M234" s="7">
        <f t="shared" si="93"/>
        <v>164</v>
      </c>
      <c r="N234" s="88">
        <f t="shared" si="86"/>
        <v>1289.2113756613755</v>
      </c>
      <c r="O234" s="88">
        <f t="shared" si="87"/>
        <v>4253.954856180856</v>
      </c>
      <c r="P234" s="88">
        <f t="shared" si="90"/>
        <v>1284.6943665666186</v>
      </c>
      <c r="Q234" s="69">
        <f t="shared" si="88"/>
        <v>4339.0339533044735</v>
      </c>
      <c r="R234" s="63">
        <v>1331.2</v>
      </c>
      <c r="S234" s="63">
        <f t="shared" si="94"/>
        <v>1331.2</v>
      </c>
      <c r="T234" s="78">
        <f t="shared" si="76"/>
        <v>1331.2</v>
      </c>
      <c r="U234" s="9">
        <f t="shared" si="82"/>
        <v>12498.094551713324</v>
      </c>
      <c r="V234" s="88">
        <f t="shared" si="89"/>
        <v>3124.523637928331</v>
      </c>
      <c r="W234" s="42">
        <v>16437</v>
      </c>
      <c r="X234" s="71">
        <v>16436.7</v>
      </c>
      <c r="Y234" s="60">
        <f t="shared" si="83"/>
        <v>1.0000182518388727</v>
      </c>
      <c r="Z234" s="60">
        <f t="shared" si="81"/>
        <v>1.8251838872718196E-5</v>
      </c>
      <c r="AA234" s="14"/>
      <c r="AC234" s="16"/>
      <c r="AD234" s="5"/>
      <c r="AE234" s="5"/>
      <c r="AF234" s="5"/>
      <c r="AG234" s="5"/>
      <c r="AH234" s="5"/>
    </row>
    <row r="235" spans="1:34" s="47" customFormat="1" ht="15" customHeight="1" x14ac:dyDescent="0.2">
      <c r="A235" s="36" t="s">
        <v>568</v>
      </c>
      <c r="B235" s="70" t="s">
        <v>805</v>
      </c>
      <c r="C235" s="21">
        <v>942048</v>
      </c>
      <c r="D235" s="61">
        <v>1925</v>
      </c>
      <c r="E235" s="7">
        <v>35</v>
      </c>
      <c r="F235" s="62">
        <f t="shared" si="91"/>
        <v>285.46909090909088</v>
      </c>
      <c r="G235" s="33">
        <v>471732</v>
      </c>
      <c r="H235" s="61">
        <v>1925</v>
      </c>
      <c r="I235" s="7">
        <v>256</v>
      </c>
      <c r="J235" s="62">
        <f t="shared" si="92"/>
        <v>1045.5704935064934</v>
      </c>
      <c r="K235" s="7">
        <v>6656104</v>
      </c>
      <c r="L235" s="7">
        <v>846720</v>
      </c>
      <c r="M235" s="7">
        <f t="shared" si="93"/>
        <v>64</v>
      </c>
      <c r="N235" s="88">
        <f t="shared" si="86"/>
        <v>503.10687830687829</v>
      </c>
      <c r="O235" s="88">
        <f t="shared" si="87"/>
        <v>1834.1464627224627</v>
      </c>
      <c r="P235" s="88">
        <f t="shared" si="90"/>
        <v>553.91223174218374</v>
      </c>
      <c r="Q235" s="69">
        <f t="shared" si="88"/>
        <v>1870.8293919769121</v>
      </c>
      <c r="R235" s="63">
        <v>471.5</v>
      </c>
      <c r="S235" s="63">
        <f t="shared" si="94"/>
        <v>471.5</v>
      </c>
      <c r="T235" s="78">
        <f t="shared" si="76"/>
        <v>471.5</v>
      </c>
      <c r="U235" s="9">
        <f t="shared" si="82"/>
        <v>5233.4949647484373</v>
      </c>
      <c r="V235" s="88">
        <f t="shared" si="89"/>
        <v>1308.3737411871093</v>
      </c>
      <c r="W235" s="42">
        <v>7071</v>
      </c>
      <c r="X235" s="71">
        <v>7070.7</v>
      </c>
      <c r="Y235" s="60">
        <f t="shared" si="83"/>
        <v>1.0000424286138572</v>
      </c>
      <c r="Z235" s="60">
        <f t="shared" si="81"/>
        <v>4.2428613857170561E-5</v>
      </c>
      <c r="AA235" s="14"/>
      <c r="AC235" s="16"/>
      <c r="AD235" s="5"/>
      <c r="AE235" s="5"/>
      <c r="AF235" s="5"/>
      <c r="AG235" s="5"/>
      <c r="AH235" s="5"/>
    </row>
    <row r="236" spans="1:34" s="47" customFormat="1" ht="15" customHeight="1" x14ac:dyDescent="0.2">
      <c r="A236" s="36" t="s">
        <v>569</v>
      </c>
      <c r="B236" s="70" t="s">
        <v>807</v>
      </c>
      <c r="C236" s="21">
        <v>942048</v>
      </c>
      <c r="D236" s="7">
        <v>1925</v>
      </c>
      <c r="E236" s="7">
        <v>35</v>
      </c>
      <c r="F236" s="62">
        <f t="shared" si="91"/>
        <v>285.46909090909088</v>
      </c>
      <c r="G236" s="33">
        <v>471732</v>
      </c>
      <c r="H236" s="61">
        <v>1925</v>
      </c>
      <c r="I236" s="7">
        <v>656</v>
      </c>
      <c r="J236" s="62">
        <f t="shared" si="92"/>
        <v>2679.2743896103893</v>
      </c>
      <c r="K236" s="7">
        <v>6656104</v>
      </c>
      <c r="L236" s="7">
        <v>846720</v>
      </c>
      <c r="M236" s="7">
        <f t="shared" si="93"/>
        <v>164</v>
      </c>
      <c r="N236" s="88">
        <f t="shared" si="86"/>
        <v>1289.2113756613755</v>
      </c>
      <c r="O236" s="88">
        <f t="shared" si="87"/>
        <v>4253.954856180856</v>
      </c>
      <c r="P236" s="88">
        <f t="shared" si="90"/>
        <v>1284.6943665666186</v>
      </c>
      <c r="Q236" s="69">
        <f t="shared" si="88"/>
        <v>4339.0339533044735</v>
      </c>
      <c r="R236" s="63">
        <v>1331.2</v>
      </c>
      <c r="S236" s="63">
        <f t="shared" si="94"/>
        <v>1331.2</v>
      </c>
      <c r="T236" s="78">
        <f t="shared" si="76"/>
        <v>1331.2</v>
      </c>
      <c r="U236" s="9">
        <f t="shared" si="82"/>
        <v>12498.094551713324</v>
      </c>
      <c r="V236" s="88">
        <f t="shared" si="89"/>
        <v>3124.523637928331</v>
      </c>
      <c r="W236" s="42">
        <v>15072</v>
      </c>
      <c r="X236" s="71">
        <v>15071.7</v>
      </c>
      <c r="Y236" s="60">
        <f t="shared" si="83"/>
        <v>1.000019904854794</v>
      </c>
      <c r="Z236" s="60">
        <f t="shared" si="81"/>
        <v>1.9904854793972859E-5</v>
      </c>
      <c r="AA236" s="14"/>
      <c r="AC236" s="16"/>
      <c r="AD236" s="5"/>
      <c r="AE236" s="5"/>
      <c r="AF236" s="5"/>
      <c r="AG236" s="5"/>
      <c r="AH236" s="5"/>
    </row>
    <row r="237" spans="1:34" s="47" customFormat="1" ht="15" customHeight="1" x14ac:dyDescent="0.2">
      <c r="A237" s="36" t="s">
        <v>570</v>
      </c>
      <c r="B237" s="70" t="s">
        <v>806</v>
      </c>
      <c r="C237" s="21">
        <v>942048</v>
      </c>
      <c r="D237" s="61">
        <v>1925</v>
      </c>
      <c r="E237" s="7">
        <v>35</v>
      </c>
      <c r="F237" s="62">
        <f t="shared" si="91"/>
        <v>285.46909090909088</v>
      </c>
      <c r="G237" s="33">
        <v>471732</v>
      </c>
      <c r="H237" s="61">
        <v>1925</v>
      </c>
      <c r="I237" s="7">
        <v>368</v>
      </c>
      <c r="J237" s="62">
        <f t="shared" si="92"/>
        <v>1503.0075844155842</v>
      </c>
      <c r="K237" s="7">
        <v>6656104</v>
      </c>
      <c r="L237" s="7">
        <v>846720</v>
      </c>
      <c r="M237" s="7">
        <f t="shared" si="93"/>
        <v>92</v>
      </c>
      <c r="N237" s="88">
        <f t="shared" si="86"/>
        <v>723.21613756613749</v>
      </c>
      <c r="O237" s="88">
        <f t="shared" si="87"/>
        <v>2511.6928128908125</v>
      </c>
      <c r="P237" s="88">
        <f t="shared" si="90"/>
        <v>758.53122949302542</v>
      </c>
      <c r="Q237" s="69">
        <f t="shared" si="88"/>
        <v>2561.9266691486287</v>
      </c>
      <c r="R237" s="63">
        <v>1030.7</v>
      </c>
      <c r="S237" s="63">
        <f t="shared" si="94"/>
        <v>1030.7</v>
      </c>
      <c r="T237" s="78">
        <f t="shared" si="76"/>
        <v>1030.7</v>
      </c>
      <c r="U237" s="9">
        <f t="shared" si="82"/>
        <v>7586.0668490986036</v>
      </c>
      <c r="V237" s="88">
        <f t="shared" si="89"/>
        <v>1896.5167122746509</v>
      </c>
      <c r="W237" s="42">
        <v>9427</v>
      </c>
      <c r="X237" s="71">
        <v>9426.9</v>
      </c>
      <c r="Y237" s="60">
        <f t="shared" si="83"/>
        <v>1.0000106079411049</v>
      </c>
      <c r="Z237" s="60">
        <f t="shared" si="81"/>
        <v>1.0607941104856522E-5</v>
      </c>
      <c r="AA237" s="14"/>
      <c r="AC237" s="16"/>
      <c r="AD237" s="5"/>
      <c r="AE237" s="5"/>
      <c r="AF237" s="5"/>
      <c r="AG237" s="5"/>
      <c r="AH237" s="5"/>
    </row>
    <row r="238" spans="1:34" s="47" customFormat="1" ht="15" customHeight="1" x14ac:dyDescent="0.2">
      <c r="A238" s="36" t="s">
        <v>571</v>
      </c>
      <c r="B238" s="70" t="s">
        <v>808</v>
      </c>
      <c r="C238" s="21">
        <v>942048</v>
      </c>
      <c r="D238" s="7">
        <v>1925</v>
      </c>
      <c r="E238" s="7">
        <v>35</v>
      </c>
      <c r="F238" s="62">
        <f t="shared" si="91"/>
        <v>285.46909090909088</v>
      </c>
      <c r="G238" s="33">
        <v>471732</v>
      </c>
      <c r="H238" s="61">
        <v>1925</v>
      </c>
      <c r="I238" s="7">
        <v>656</v>
      </c>
      <c r="J238" s="62">
        <f t="shared" si="92"/>
        <v>2679.2743896103893</v>
      </c>
      <c r="K238" s="7">
        <v>6656104</v>
      </c>
      <c r="L238" s="7">
        <v>846720</v>
      </c>
      <c r="M238" s="7">
        <f t="shared" si="93"/>
        <v>164</v>
      </c>
      <c r="N238" s="88">
        <f t="shared" si="86"/>
        <v>1289.2113756613755</v>
      </c>
      <c r="O238" s="88">
        <f t="shared" si="87"/>
        <v>4253.954856180856</v>
      </c>
      <c r="P238" s="88">
        <f t="shared" si="90"/>
        <v>1284.6943665666186</v>
      </c>
      <c r="Q238" s="69">
        <f t="shared" si="88"/>
        <v>4339.0339533044735</v>
      </c>
      <c r="R238" s="63">
        <v>1331.2</v>
      </c>
      <c r="S238" s="63">
        <f t="shared" si="94"/>
        <v>1331.2</v>
      </c>
      <c r="T238" s="78">
        <f t="shared" si="76"/>
        <v>1331.2</v>
      </c>
      <c r="U238" s="9">
        <f t="shared" si="82"/>
        <v>12498.094551713324</v>
      </c>
      <c r="V238" s="88">
        <f t="shared" si="89"/>
        <v>3124.523637928331</v>
      </c>
      <c r="W238" s="42">
        <v>15462</v>
      </c>
      <c r="X238" s="71">
        <v>15462.3</v>
      </c>
      <c r="Y238" s="60">
        <f t="shared" si="83"/>
        <v>0.99998059797054772</v>
      </c>
      <c r="Z238" s="60">
        <f t="shared" si="81"/>
        <v>-1.9402029452275649E-5</v>
      </c>
      <c r="AA238" s="14"/>
      <c r="AC238" s="16"/>
      <c r="AD238" s="5"/>
      <c r="AE238" s="5"/>
      <c r="AF238" s="5"/>
      <c r="AG238" s="5"/>
      <c r="AH238" s="5"/>
    </row>
    <row r="239" spans="1:34" s="47" customFormat="1" ht="15" customHeight="1" x14ac:dyDescent="0.2">
      <c r="A239" s="36" t="s">
        <v>572</v>
      </c>
      <c r="B239" s="70" t="s">
        <v>809</v>
      </c>
      <c r="C239" s="21">
        <v>942048</v>
      </c>
      <c r="D239" s="61">
        <v>1925</v>
      </c>
      <c r="E239" s="7">
        <v>35</v>
      </c>
      <c r="F239" s="62">
        <f t="shared" si="91"/>
        <v>285.46909090909088</v>
      </c>
      <c r="G239" s="33">
        <v>471732</v>
      </c>
      <c r="H239" s="61">
        <v>1925</v>
      </c>
      <c r="I239" s="7">
        <v>256</v>
      </c>
      <c r="J239" s="62">
        <f t="shared" si="92"/>
        <v>1045.5704935064934</v>
      </c>
      <c r="K239" s="7">
        <v>6656104</v>
      </c>
      <c r="L239" s="7">
        <v>846720</v>
      </c>
      <c r="M239" s="7">
        <f t="shared" si="93"/>
        <v>64</v>
      </c>
      <c r="N239" s="88">
        <f t="shared" si="86"/>
        <v>503.10687830687829</v>
      </c>
      <c r="O239" s="88">
        <f t="shared" si="87"/>
        <v>1834.1464627224627</v>
      </c>
      <c r="P239" s="88">
        <f t="shared" si="90"/>
        <v>553.91223174218374</v>
      </c>
      <c r="Q239" s="69">
        <f t="shared" si="88"/>
        <v>1870.8293919769121</v>
      </c>
      <c r="R239" s="63">
        <v>471.5</v>
      </c>
      <c r="S239" s="63">
        <f t="shared" si="94"/>
        <v>471.5</v>
      </c>
      <c r="T239" s="78">
        <f t="shared" ref="T239:T298" si="95">S239*1</f>
        <v>471.5</v>
      </c>
      <c r="U239" s="9">
        <f t="shared" si="82"/>
        <v>5233.4949647484373</v>
      </c>
      <c r="V239" s="88">
        <f t="shared" si="89"/>
        <v>1308.3737411871093</v>
      </c>
      <c r="W239" s="42">
        <v>6945</v>
      </c>
      <c r="X239" s="71">
        <v>6944.7</v>
      </c>
      <c r="Y239" s="60">
        <f t="shared" si="83"/>
        <v>1.0000431984102984</v>
      </c>
      <c r="Z239" s="60">
        <f t="shared" si="81"/>
        <v>4.3198410298428414E-5</v>
      </c>
      <c r="AA239" s="14"/>
      <c r="AC239" s="16"/>
      <c r="AD239" s="5"/>
      <c r="AE239" s="5"/>
      <c r="AF239" s="5"/>
      <c r="AG239" s="5"/>
      <c r="AH239" s="5"/>
    </row>
    <row r="240" spans="1:34" s="47" customFormat="1" ht="15" customHeight="1" x14ac:dyDescent="0.2">
      <c r="A240" s="36" t="s">
        <v>573</v>
      </c>
      <c r="B240" s="70" t="s">
        <v>810</v>
      </c>
      <c r="C240" s="21">
        <v>942048</v>
      </c>
      <c r="D240" s="7">
        <v>1925</v>
      </c>
      <c r="E240" s="7">
        <v>35</v>
      </c>
      <c r="F240" s="62">
        <f t="shared" si="91"/>
        <v>285.46909090909088</v>
      </c>
      <c r="G240" s="33">
        <v>471732</v>
      </c>
      <c r="H240" s="61">
        <v>1925</v>
      </c>
      <c r="I240" s="7">
        <v>656</v>
      </c>
      <c r="J240" s="62">
        <f t="shared" si="92"/>
        <v>2679.2743896103893</v>
      </c>
      <c r="K240" s="7">
        <v>6656104</v>
      </c>
      <c r="L240" s="7">
        <v>846720</v>
      </c>
      <c r="M240" s="7">
        <f t="shared" si="93"/>
        <v>164</v>
      </c>
      <c r="N240" s="88">
        <f t="shared" si="86"/>
        <v>1289.2113756613755</v>
      </c>
      <c r="O240" s="88">
        <f t="shared" si="87"/>
        <v>4253.954856180856</v>
      </c>
      <c r="P240" s="88">
        <f t="shared" si="90"/>
        <v>1284.6943665666186</v>
      </c>
      <c r="Q240" s="69">
        <f t="shared" si="88"/>
        <v>4339.0339533044735</v>
      </c>
      <c r="R240" s="63">
        <v>1331.2</v>
      </c>
      <c r="S240" s="63">
        <f t="shared" si="94"/>
        <v>1331.2</v>
      </c>
      <c r="T240" s="92">
        <f>S240*1</f>
        <v>1331.2</v>
      </c>
      <c r="U240" s="9">
        <f t="shared" si="82"/>
        <v>12498.094551713324</v>
      </c>
      <c r="V240" s="88">
        <f t="shared" si="89"/>
        <v>3124.523637928331</v>
      </c>
      <c r="W240" s="42">
        <v>22168</v>
      </c>
      <c r="X240" s="71">
        <v>22167.599999999999</v>
      </c>
      <c r="Y240" s="60">
        <f t="shared" si="83"/>
        <v>1.0000180443530198</v>
      </c>
      <c r="Z240" s="60">
        <f t="shared" si="81"/>
        <v>1.8044353019774917E-5</v>
      </c>
      <c r="AA240" s="14"/>
      <c r="AC240" s="16"/>
      <c r="AD240" s="5"/>
      <c r="AE240" s="5"/>
      <c r="AF240" s="5"/>
      <c r="AG240" s="5"/>
      <c r="AH240" s="5"/>
    </row>
    <row r="241" spans="1:34" s="47" customFormat="1" ht="15" customHeight="1" x14ac:dyDescent="0.2">
      <c r="A241" s="36" t="s">
        <v>574</v>
      </c>
      <c r="B241" s="70" t="s">
        <v>811</v>
      </c>
      <c r="C241" s="21">
        <v>942048</v>
      </c>
      <c r="D241" s="61">
        <v>1925</v>
      </c>
      <c r="E241" s="7">
        <v>35</v>
      </c>
      <c r="F241" s="62">
        <f t="shared" si="91"/>
        <v>285.46909090909088</v>
      </c>
      <c r="G241" s="33">
        <v>471732</v>
      </c>
      <c r="H241" s="61">
        <v>1925</v>
      </c>
      <c r="I241" s="7">
        <v>320</v>
      </c>
      <c r="J241" s="62">
        <f t="shared" si="92"/>
        <v>1306.9631168831168</v>
      </c>
      <c r="K241" s="7">
        <v>6656104</v>
      </c>
      <c r="L241" s="7">
        <v>846720</v>
      </c>
      <c r="M241" s="7">
        <f t="shared" si="93"/>
        <v>80</v>
      </c>
      <c r="N241" s="88">
        <f t="shared" si="86"/>
        <v>628.88359788359787</v>
      </c>
      <c r="O241" s="88">
        <f t="shared" si="87"/>
        <v>2221.3158056758057</v>
      </c>
      <c r="P241" s="88">
        <f t="shared" si="90"/>
        <v>670.83737331409327</v>
      </c>
      <c r="Q241" s="69">
        <f t="shared" si="88"/>
        <v>2265.742121789322</v>
      </c>
      <c r="R241" s="63">
        <v>1030.7</v>
      </c>
      <c r="S241" s="63">
        <f t="shared" si="94"/>
        <v>1030.7</v>
      </c>
      <c r="T241" s="78">
        <f t="shared" si="95"/>
        <v>1030.7</v>
      </c>
      <c r="U241" s="9">
        <f t="shared" si="82"/>
        <v>6817.4788986628182</v>
      </c>
      <c r="V241" s="88">
        <f t="shared" si="89"/>
        <v>1704.3697246657046</v>
      </c>
      <c r="W241" s="42">
        <v>9559</v>
      </c>
      <c r="X241" s="71">
        <v>9559.2000000000007</v>
      </c>
      <c r="Y241" s="60">
        <f t="shared" si="83"/>
        <v>0.99997907774709172</v>
      </c>
      <c r="Z241" s="60">
        <f t="shared" si="81"/>
        <v>-2.09222529082842E-5</v>
      </c>
      <c r="AA241" s="14"/>
      <c r="AC241" s="16"/>
      <c r="AD241" s="5"/>
      <c r="AE241" s="5"/>
      <c r="AF241" s="5"/>
      <c r="AG241" s="5"/>
      <c r="AH241" s="5"/>
    </row>
    <row r="242" spans="1:34" s="47" customFormat="1" ht="15" customHeight="1" x14ac:dyDescent="0.2">
      <c r="A242" s="36" t="s">
        <v>575</v>
      </c>
      <c r="B242" s="70" t="s">
        <v>812</v>
      </c>
      <c r="C242" s="21">
        <v>942048</v>
      </c>
      <c r="D242" s="7">
        <v>1925</v>
      </c>
      <c r="E242" s="7">
        <v>35</v>
      </c>
      <c r="F242" s="62">
        <f t="shared" si="91"/>
        <v>285.46909090909088</v>
      </c>
      <c r="G242" s="33">
        <v>471732</v>
      </c>
      <c r="H242" s="61">
        <v>1925</v>
      </c>
      <c r="I242" s="7">
        <v>656</v>
      </c>
      <c r="J242" s="62">
        <f t="shared" si="92"/>
        <v>2679.2743896103893</v>
      </c>
      <c r="K242" s="7">
        <v>6656104</v>
      </c>
      <c r="L242" s="7">
        <v>846720</v>
      </c>
      <c r="M242" s="7">
        <f t="shared" si="93"/>
        <v>164</v>
      </c>
      <c r="N242" s="88">
        <f t="shared" si="86"/>
        <v>1289.2113756613755</v>
      </c>
      <c r="O242" s="88">
        <f t="shared" si="87"/>
        <v>4253.954856180856</v>
      </c>
      <c r="P242" s="88">
        <f t="shared" si="90"/>
        <v>1284.6943665666186</v>
      </c>
      <c r="Q242" s="69">
        <f t="shared" si="88"/>
        <v>4339.0339533044735</v>
      </c>
      <c r="R242" s="63">
        <v>1331.2</v>
      </c>
      <c r="S242" s="63">
        <f t="shared" si="94"/>
        <v>1331.2</v>
      </c>
      <c r="T242" s="78">
        <f t="shared" si="95"/>
        <v>1331.2</v>
      </c>
      <c r="U242" s="9">
        <f t="shared" si="82"/>
        <v>12498.094551713324</v>
      </c>
      <c r="V242" s="88">
        <f t="shared" si="89"/>
        <v>3124.523637928331</v>
      </c>
      <c r="W242" s="42">
        <v>17331</v>
      </c>
      <c r="X242" s="71">
        <v>17331.3</v>
      </c>
      <c r="Y242" s="60">
        <f t="shared" si="83"/>
        <v>0.99998269027712872</v>
      </c>
      <c r="Z242" s="60">
        <f t="shared" si="81"/>
        <v>-1.7309722871283739E-5</v>
      </c>
      <c r="AA242" s="14"/>
      <c r="AC242" s="16"/>
      <c r="AD242" s="5"/>
      <c r="AE242" s="5"/>
      <c r="AF242" s="5"/>
      <c r="AG242" s="5"/>
      <c r="AH242" s="5"/>
    </row>
    <row r="243" spans="1:34" s="47" customFormat="1" ht="15" customHeight="1" x14ac:dyDescent="0.2">
      <c r="A243" s="36" t="s">
        <v>576</v>
      </c>
      <c r="B243" s="70" t="s">
        <v>813</v>
      </c>
      <c r="C243" s="21">
        <v>942048</v>
      </c>
      <c r="D243" s="61">
        <v>1925</v>
      </c>
      <c r="E243" s="7">
        <v>35</v>
      </c>
      <c r="F243" s="62">
        <f t="shared" si="91"/>
        <v>285.46909090909088</v>
      </c>
      <c r="G243" s="33">
        <v>471732</v>
      </c>
      <c r="H243" s="61">
        <v>1925</v>
      </c>
      <c r="I243" s="7">
        <v>464</v>
      </c>
      <c r="J243" s="62">
        <f t="shared" si="92"/>
        <v>1895.0965194805194</v>
      </c>
      <c r="K243" s="7">
        <v>6656104</v>
      </c>
      <c r="L243" s="7">
        <v>846720</v>
      </c>
      <c r="M243" s="7">
        <f t="shared" si="93"/>
        <v>116</v>
      </c>
      <c r="N243" s="88">
        <f t="shared" si="86"/>
        <v>911.88121693121684</v>
      </c>
      <c r="O243" s="88">
        <f t="shared" si="87"/>
        <v>3092.4468273208272</v>
      </c>
      <c r="P243" s="88">
        <f t="shared" si="90"/>
        <v>933.91894185088984</v>
      </c>
      <c r="Q243" s="69">
        <f t="shared" si="88"/>
        <v>3154.2957638672437</v>
      </c>
      <c r="R243" s="63">
        <v>471.5</v>
      </c>
      <c r="S243" s="63">
        <f t="shared" si="94"/>
        <v>471.5</v>
      </c>
      <c r="T243" s="78">
        <f t="shared" si="95"/>
        <v>471.5</v>
      </c>
      <c r="U243" s="9">
        <f t="shared" si="82"/>
        <v>8564.0427499701782</v>
      </c>
      <c r="V243" s="88">
        <f t="shared" si="89"/>
        <v>2141.0106874925445</v>
      </c>
      <c r="W243" s="42">
        <v>10905</v>
      </c>
      <c r="X243" s="71">
        <v>10905.3</v>
      </c>
      <c r="Y243" s="60">
        <f t="shared" si="83"/>
        <v>0.99997249044042813</v>
      </c>
      <c r="Z243" s="60">
        <f t="shared" si="81"/>
        <v>-2.7509559571869957E-5</v>
      </c>
      <c r="AA243" s="14"/>
      <c r="AC243" s="16"/>
      <c r="AD243" s="5"/>
      <c r="AE243" s="5"/>
      <c r="AF243" s="5"/>
      <c r="AG243" s="5"/>
      <c r="AH243" s="5"/>
    </row>
    <row r="244" spans="1:34" s="47" customFormat="1" ht="15" customHeight="1" x14ac:dyDescent="0.2">
      <c r="A244" s="36" t="s">
        <v>577</v>
      </c>
      <c r="B244" s="70" t="s">
        <v>814</v>
      </c>
      <c r="C244" s="21">
        <v>942048</v>
      </c>
      <c r="D244" s="7">
        <v>1925</v>
      </c>
      <c r="E244" s="7">
        <v>35</v>
      </c>
      <c r="F244" s="62">
        <f t="shared" si="91"/>
        <v>285.46909090909088</v>
      </c>
      <c r="G244" s="33">
        <v>471732</v>
      </c>
      <c r="H244" s="61">
        <v>1925</v>
      </c>
      <c r="I244" s="7">
        <v>400</v>
      </c>
      <c r="J244" s="62">
        <f t="shared" si="92"/>
        <v>1633.7038961038961</v>
      </c>
      <c r="K244" s="7">
        <v>6656104</v>
      </c>
      <c r="L244" s="7">
        <v>846720</v>
      </c>
      <c r="M244" s="7">
        <f t="shared" si="93"/>
        <v>100</v>
      </c>
      <c r="N244" s="88">
        <f t="shared" si="86"/>
        <v>786.10449735449731</v>
      </c>
      <c r="O244" s="88">
        <f t="shared" si="87"/>
        <v>2705.2774843674842</v>
      </c>
      <c r="P244" s="88">
        <f t="shared" si="90"/>
        <v>816.99380027898019</v>
      </c>
      <c r="Q244" s="69">
        <f t="shared" si="88"/>
        <v>2759.3830340548338</v>
      </c>
      <c r="R244" s="63">
        <v>471.5</v>
      </c>
      <c r="S244" s="63">
        <f t="shared" si="94"/>
        <v>471.5</v>
      </c>
      <c r="T244" s="78">
        <f t="shared" si="95"/>
        <v>471.5</v>
      </c>
      <c r="U244" s="9">
        <f t="shared" si="82"/>
        <v>7539.2588160557953</v>
      </c>
      <c r="V244" s="88">
        <f t="shared" si="89"/>
        <v>1884.8147040139488</v>
      </c>
      <c r="W244" s="42">
        <v>10303</v>
      </c>
      <c r="X244" s="71">
        <v>10302.6</v>
      </c>
      <c r="Y244" s="60">
        <f t="shared" si="83"/>
        <v>1.0000388251509327</v>
      </c>
      <c r="Z244" s="60">
        <f t="shared" si="81"/>
        <v>3.8825150932675356E-5</v>
      </c>
      <c r="AA244" s="14"/>
      <c r="AC244" s="16"/>
      <c r="AD244" s="5"/>
      <c r="AE244" s="5"/>
      <c r="AF244" s="5"/>
      <c r="AG244" s="5"/>
      <c r="AH244" s="5"/>
    </row>
    <row r="245" spans="1:34" s="47" customFormat="1" ht="15" customHeight="1" x14ac:dyDescent="0.2">
      <c r="A245" s="36" t="s">
        <v>578</v>
      </c>
      <c r="B245" s="70" t="s">
        <v>815</v>
      </c>
      <c r="C245" s="21">
        <v>942048</v>
      </c>
      <c r="D245" s="61">
        <v>1925</v>
      </c>
      <c r="E245" s="7">
        <v>35</v>
      </c>
      <c r="F245" s="62">
        <f t="shared" si="91"/>
        <v>285.46909090909088</v>
      </c>
      <c r="G245" s="33">
        <v>471732</v>
      </c>
      <c r="H245" s="61">
        <v>1925</v>
      </c>
      <c r="I245" s="7">
        <v>400</v>
      </c>
      <c r="J245" s="62">
        <f t="shared" si="92"/>
        <v>1633.7038961038961</v>
      </c>
      <c r="K245" s="7">
        <v>6656104</v>
      </c>
      <c r="L245" s="7">
        <v>846720</v>
      </c>
      <c r="M245" s="7">
        <f t="shared" si="93"/>
        <v>100</v>
      </c>
      <c r="N245" s="88">
        <f t="shared" si="86"/>
        <v>786.10449735449731</v>
      </c>
      <c r="O245" s="88">
        <f t="shared" si="87"/>
        <v>2705.2774843674842</v>
      </c>
      <c r="P245" s="88">
        <f t="shared" si="90"/>
        <v>816.99380027898019</v>
      </c>
      <c r="Q245" s="69">
        <f t="shared" si="88"/>
        <v>2759.3830340548338</v>
      </c>
      <c r="R245" s="63">
        <v>471.5</v>
      </c>
      <c r="S245" s="63">
        <f t="shared" si="94"/>
        <v>471.5</v>
      </c>
      <c r="T245" s="78">
        <f t="shared" si="95"/>
        <v>471.5</v>
      </c>
      <c r="U245" s="9">
        <f t="shared" si="82"/>
        <v>7539.2588160557953</v>
      </c>
      <c r="V245" s="88">
        <f t="shared" si="89"/>
        <v>1884.8147040139488</v>
      </c>
      <c r="W245" s="42">
        <v>12629</v>
      </c>
      <c r="X245" s="71">
        <v>12629.4</v>
      </c>
      <c r="Y245" s="60">
        <f t="shared" si="83"/>
        <v>0.99996832786989087</v>
      </c>
      <c r="Z245" s="60">
        <f t="shared" si="81"/>
        <v>-3.1672130109128283E-5</v>
      </c>
      <c r="AA245" s="14"/>
      <c r="AC245" s="16"/>
      <c r="AD245" s="5"/>
      <c r="AE245" s="5"/>
      <c r="AF245" s="5"/>
      <c r="AG245" s="5"/>
      <c r="AH245" s="5"/>
    </row>
    <row r="246" spans="1:34" s="47" customFormat="1" ht="15" customHeight="1" x14ac:dyDescent="0.2">
      <c r="A246" s="36" t="s">
        <v>579</v>
      </c>
      <c r="B246" s="70" t="s">
        <v>816</v>
      </c>
      <c r="C246" s="21">
        <v>942048</v>
      </c>
      <c r="D246" s="7">
        <v>1925</v>
      </c>
      <c r="E246" s="7">
        <v>35</v>
      </c>
      <c r="F246" s="62">
        <f t="shared" si="91"/>
        <v>285.46909090909088</v>
      </c>
      <c r="G246" s="33">
        <v>471732</v>
      </c>
      <c r="H246" s="61">
        <v>1925</v>
      </c>
      <c r="I246" s="7">
        <v>656</v>
      </c>
      <c r="J246" s="62">
        <f t="shared" si="92"/>
        <v>2679.2743896103893</v>
      </c>
      <c r="K246" s="7">
        <v>6656104</v>
      </c>
      <c r="L246" s="7">
        <v>846720</v>
      </c>
      <c r="M246" s="7">
        <f t="shared" si="93"/>
        <v>164</v>
      </c>
      <c r="N246" s="88">
        <f t="shared" si="86"/>
        <v>1289.2113756613755</v>
      </c>
      <c r="O246" s="88">
        <f t="shared" si="87"/>
        <v>4253.954856180856</v>
      </c>
      <c r="P246" s="88">
        <f t="shared" si="90"/>
        <v>1284.6943665666186</v>
      </c>
      <c r="Q246" s="69">
        <f t="shared" si="88"/>
        <v>4339.0339533044735</v>
      </c>
      <c r="R246" s="63">
        <v>1030.7</v>
      </c>
      <c r="S246" s="63">
        <f t="shared" si="94"/>
        <v>1030.7</v>
      </c>
      <c r="T246" s="78">
        <f t="shared" si="95"/>
        <v>1030.7</v>
      </c>
      <c r="U246" s="9">
        <f t="shared" si="82"/>
        <v>12197.594551713324</v>
      </c>
      <c r="V246" s="88">
        <f t="shared" si="89"/>
        <v>3049.398637928331</v>
      </c>
      <c r="W246" s="42">
        <v>18012</v>
      </c>
      <c r="X246" s="71">
        <v>18011.7</v>
      </c>
      <c r="Y246" s="60">
        <f t="shared" si="83"/>
        <v>1.0000166558403705</v>
      </c>
      <c r="Z246" s="60">
        <f t="shared" si="81"/>
        <v>1.6655840370471964E-5</v>
      </c>
      <c r="AA246" s="14"/>
      <c r="AC246" s="16"/>
      <c r="AD246" s="5"/>
      <c r="AE246" s="5"/>
      <c r="AF246" s="5"/>
      <c r="AG246" s="5"/>
      <c r="AH246" s="5"/>
    </row>
    <row r="247" spans="1:34" s="47" customFormat="1" ht="15" customHeight="1" x14ac:dyDescent="0.2">
      <c r="A247" s="36" t="s">
        <v>580</v>
      </c>
      <c r="B247" s="70" t="s">
        <v>817</v>
      </c>
      <c r="C247" s="21">
        <v>942048</v>
      </c>
      <c r="D247" s="61">
        <v>1925</v>
      </c>
      <c r="E247" s="7">
        <v>35</v>
      </c>
      <c r="F247" s="62">
        <f t="shared" si="91"/>
        <v>285.46909090909088</v>
      </c>
      <c r="G247" s="33">
        <v>471732</v>
      </c>
      <c r="H247" s="61">
        <v>1925</v>
      </c>
      <c r="I247" s="7">
        <v>464</v>
      </c>
      <c r="J247" s="62">
        <f t="shared" si="92"/>
        <v>1895.0965194805194</v>
      </c>
      <c r="K247" s="7">
        <v>6656104</v>
      </c>
      <c r="L247" s="7">
        <v>846720</v>
      </c>
      <c r="M247" s="7">
        <f t="shared" si="93"/>
        <v>116</v>
      </c>
      <c r="N247" s="88">
        <f t="shared" si="86"/>
        <v>911.88121693121684</v>
      </c>
      <c r="O247" s="88">
        <f t="shared" si="87"/>
        <v>3092.4468273208272</v>
      </c>
      <c r="P247" s="88">
        <f t="shared" si="90"/>
        <v>933.91894185088984</v>
      </c>
      <c r="Q247" s="69">
        <f t="shared" si="88"/>
        <v>3154.2957638672437</v>
      </c>
      <c r="R247" s="63">
        <v>471.5</v>
      </c>
      <c r="S247" s="63">
        <f t="shared" si="94"/>
        <v>471.5</v>
      </c>
      <c r="T247" s="78">
        <f t="shared" si="95"/>
        <v>471.5</v>
      </c>
      <c r="U247" s="9">
        <f t="shared" si="82"/>
        <v>8564.0427499701782</v>
      </c>
      <c r="V247" s="88">
        <f t="shared" si="89"/>
        <v>2141.0106874925445</v>
      </c>
      <c r="W247" s="42">
        <v>10838</v>
      </c>
      <c r="X247" s="71">
        <v>10838.1</v>
      </c>
      <c r="Y247" s="60">
        <f t="shared" si="83"/>
        <v>0.99999077329052133</v>
      </c>
      <c r="Z247" s="60">
        <f t="shared" si="81"/>
        <v>-9.2267094786713244E-6</v>
      </c>
      <c r="AA247" s="14"/>
      <c r="AC247" s="16"/>
      <c r="AD247" s="5"/>
      <c r="AE247" s="5"/>
      <c r="AF247" s="5"/>
      <c r="AG247" s="5"/>
      <c r="AH247" s="5"/>
    </row>
    <row r="248" spans="1:34" s="47" customFormat="1" ht="15" customHeight="1" x14ac:dyDescent="0.2">
      <c r="A248" s="36" t="s">
        <v>581</v>
      </c>
      <c r="B248" s="70" t="s">
        <v>818</v>
      </c>
      <c r="C248" s="21">
        <v>942048</v>
      </c>
      <c r="D248" s="7">
        <v>1925</v>
      </c>
      <c r="E248" s="7">
        <v>35</v>
      </c>
      <c r="F248" s="62">
        <f t="shared" si="91"/>
        <v>285.46909090909088</v>
      </c>
      <c r="G248" s="33">
        <v>471732</v>
      </c>
      <c r="H248" s="61">
        <v>1925</v>
      </c>
      <c r="I248" s="7">
        <v>256</v>
      </c>
      <c r="J248" s="62">
        <f t="shared" si="92"/>
        <v>1045.5704935064934</v>
      </c>
      <c r="K248" s="7">
        <v>6656104</v>
      </c>
      <c r="L248" s="7">
        <v>846720</v>
      </c>
      <c r="M248" s="7">
        <f t="shared" si="93"/>
        <v>64</v>
      </c>
      <c r="N248" s="88">
        <f t="shared" si="86"/>
        <v>503.10687830687829</v>
      </c>
      <c r="O248" s="88">
        <f t="shared" si="87"/>
        <v>1834.1464627224627</v>
      </c>
      <c r="P248" s="88">
        <f t="shared" si="90"/>
        <v>553.91223174218374</v>
      </c>
      <c r="Q248" s="69">
        <f t="shared" si="88"/>
        <v>1870.8293919769121</v>
      </c>
      <c r="R248" s="63">
        <v>471.5</v>
      </c>
      <c r="S248" s="63">
        <f t="shared" si="94"/>
        <v>471.5</v>
      </c>
      <c r="T248" s="78">
        <f t="shared" si="95"/>
        <v>471.5</v>
      </c>
      <c r="U248" s="9">
        <f t="shared" si="82"/>
        <v>5233.4949647484373</v>
      </c>
      <c r="V248" s="88">
        <f t="shared" si="89"/>
        <v>1308.3737411871093</v>
      </c>
      <c r="W248" s="42">
        <v>11493</v>
      </c>
      <c r="X248" s="71">
        <v>11493.3</v>
      </c>
      <c r="Y248" s="60">
        <f t="shared" si="83"/>
        <v>0.99997389783613067</v>
      </c>
      <c r="Z248" s="60">
        <f t="shared" si="81"/>
        <v>-2.6102163869334838E-5</v>
      </c>
      <c r="AA248" s="14"/>
      <c r="AC248" s="16"/>
      <c r="AD248" s="5"/>
      <c r="AE248" s="5"/>
      <c r="AF248" s="5"/>
      <c r="AG248" s="5"/>
      <c r="AH248" s="5"/>
    </row>
    <row r="249" spans="1:34" s="47" customFormat="1" ht="15" customHeight="1" x14ac:dyDescent="0.2">
      <c r="A249" s="36" t="s">
        <v>582</v>
      </c>
      <c r="B249" s="70" t="s">
        <v>819</v>
      </c>
      <c r="C249" s="21">
        <v>942048</v>
      </c>
      <c r="D249" s="61">
        <v>1925</v>
      </c>
      <c r="E249" s="7">
        <v>35</v>
      </c>
      <c r="F249" s="62">
        <f t="shared" si="91"/>
        <v>285.46909090909088</v>
      </c>
      <c r="G249" s="33">
        <v>471732</v>
      </c>
      <c r="H249" s="61">
        <v>1925</v>
      </c>
      <c r="I249" s="7">
        <v>256</v>
      </c>
      <c r="J249" s="62">
        <f t="shared" si="92"/>
        <v>1045.5704935064934</v>
      </c>
      <c r="K249" s="7">
        <v>6656104</v>
      </c>
      <c r="L249" s="7">
        <v>846720</v>
      </c>
      <c r="M249" s="7">
        <f t="shared" si="93"/>
        <v>64</v>
      </c>
      <c r="N249" s="88">
        <f t="shared" si="86"/>
        <v>503.10687830687829</v>
      </c>
      <c r="O249" s="88">
        <f t="shared" si="87"/>
        <v>1834.1464627224627</v>
      </c>
      <c r="P249" s="88">
        <f t="shared" si="90"/>
        <v>553.91223174218374</v>
      </c>
      <c r="Q249" s="69">
        <f t="shared" si="88"/>
        <v>1870.8293919769121</v>
      </c>
      <c r="R249" s="63">
        <v>471.5</v>
      </c>
      <c r="S249" s="63">
        <f t="shared" si="94"/>
        <v>471.5</v>
      </c>
      <c r="T249" s="78">
        <f t="shared" si="95"/>
        <v>471.5</v>
      </c>
      <c r="U249" s="9">
        <f t="shared" si="82"/>
        <v>5233.4949647484373</v>
      </c>
      <c r="V249" s="88">
        <f t="shared" si="89"/>
        <v>1308.3737411871093</v>
      </c>
      <c r="W249" s="42">
        <v>12948</v>
      </c>
      <c r="X249" s="71">
        <v>12947.55</v>
      </c>
      <c r="Y249" s="60">
        <f t="shared" si="83"/>
        <v>1.0000347556101348</v>
      </c>
      <c r="Z249" s="60">
        <f t="shared" si="81"/>
        <v>3.4755610134773463E-5</v>
      </c>
      <c r="AA249" s="14"/>
      <c r="AC249" s="16"/>
      <c r="AD249" s="5"/>
      <c r="AE249" s="5"/>
      <c r="AF249" s="5"/>
      <c r="AG249" s="5"/>
      <c r="AH249" s="5"/>
    </row>
    <row r="250" spans="1:34" s="47" customFormat="1" ht="15" customHeight="1" x14ac:dyDescent="0.2">
      <c r="A250" s="36" t="s">
        <v>583</v>
      </c>
      <c r="B250" s="70" t="s">
        <v>820</v>
      </c>
      <c r="C250" s="21">
        <v>942048</v>
      </c>
      <c r="D250" s="7">
        <v>1925</v>
      </c>
      <c r="E250" s="7">
        <v>35</v>
      </c>
      <c r="F250" s="62">
        <f t="shared" si="91"/>
        <v>285.46909090909088</v>
      </c>
      <c r="G250" s="33">
        <v>471732</v>
      </c>
      <c r="H250" s="61">
        <v>1925</v>
      </c>
      <c r="I250" s="7">
        <v>192</v>
      </c>
      <c r="J250" s="62">
        <f t="shared" si="92"/>
        <v>784.17787012987014</v>
      </c>
      <c r="K250" s="7">
        <v>6656104</v>
      </c>
      <c r="L250" s="7">
        <v>846720</v>
      </c>
      <c r="M250" s="7">
        <f t="shared" si="93"/>
        <v>48</v>
      </c>
      <c r="N250" s="88">
        <f t="shared" si="86"/>
        <v>377.3301587301587</v>
      </c>
      <c r="O250" s="88">
        <f t="shared" si="87"/>
        <v>1446.9771197691198</v>
      </c>
      <c r="P250" s="88">
        <f t="shared" si="90"/>
        <v>436.98709017027414</v>
      </c>
      <c r="Q250" s="69">
        <f t="shared" si="88"/>
        <v>1475.9166621645022</v>
      </c>
      <c r="R250" s="63">
        <v>300.5</v>
      </c>
      <c r="S250" s="63">
        <f t="shared" si="94"/>
        <v>300.5</v>
      </c>
      <c r="T250" s="78">
        <f t="shared" si="95"/>
        <v>300.5</v>
      </c>
      <c r="U250" s="9">
        <f t="shared" si="82"/>
        <v>4037.7110308340548</v>
      </c>
      <c r="V250" s="88">
        <f t="shared" si="89"/>
        <v>1009.4277577085137</v>
      </c>
      <c r="W250" s="42">
        <v>10763</v>
      </c>
      <c r="X250" s="71">
        <v>10762.5</v>
      </c>
      <c r="Y250" s="60">
        <f t="shared" si="83"/>
        <v>1.0000464576074333</v>
      </c>
      <c r="Z250" s="60">
        <f t="shared" ref="Z250:Z309" si="96">Y250-100%</f>
        <v>4.6457607433270098E-5</v>
      </c>
      <c r="AA250" s="14"/>
      <c r="AC250" s="16"/>
      <c r="AD250" s="5"/>
      <c r="AE250" s="5"/>
      <c r="AF250" s="5"/>
      <c r="AG250" s="5"/>
      <c r="AH250" s="5"/>
    </row>
    <row r="251" spans="1:34" s="47" customFormat="1" ht="15" customHeight="1" x14ac:dyDescent="0.2">
      <c r="A251" s="36" t="s">
        <v>584</v>
      </c>
      <c r="B251" s="70" t="s">
        <v>821</v>
      </c>
      <c r="C251" s="21">
        <v>942048</v>
      </c>
      <c r="D251" s="61">
        <v>1925</v>
      </c>
      <c r="E251" s="7">
        <v>35</v>
      </c>
      <c r="F251" s="62">
        <f t="shared" si="91"/>
        <v>285.46909090909088</v>
      </c>
      <c r="G251" s="33">
        <v>471732</v>
      </c>
      <c r="H251" s="61">
        <v>1925</v>
      </c>
      <c r="I251" s="7">
        <v>656</v>
      </c>
      <c r="J251" s="62">
        <f t="shared" si="92"/>
        <v>2679.2743896103893</v>
      </c>
      <c r="K251" s="7">
        <v>6656104</v>
      </c>
      <c r="L251" s="7">
        <v>846720</v>
      </c>
      <c r="M251" s="7">
        <f t="shared" si="93"/>
        <v>164</v>
      </c>
      <c r="N251" s="88">
        <f t="shared" si="86"/>
        <v>1289.2113756613755</v>
      </c>
      <c r="O251" s="88">
        <f t="shared" si="87"/>
        <v>4253.954856180856</v>
      </c>
      <c r="P251" s="88">
        <f t="shared" si="90"/>
        <v>1284.6943665666186</v>
      </c>
      <c r="Q251" s="69">
        <f t="shared" si="88"/>
        <v>4339.0339533044735</v>
      </c>
      <c r="R251" s="63">
        <v>1030.7</v>
      </c>
      <c r="S251" s="63">
        <f t="shared" si="94"/>
        <v>1030.7</v>
      </c>
      <c r="T251" s="78">
        <f t="shared" si="95"/>
        <v>1030.7</v>
      </c>
      <c r="U251" s="9">
        <f t="shared" si="82"/>
        <v>12197.594551713324</v>
      </c>
      <c r="V251" s="88">
        <f t="shared" si="89"/>
        <v>3049.398637928331</v>
      </c>
      <c r="W251" s="42">
        <v>18541</v>
      </c>
      <c r="X251" s="71">
        <v>18540.900000000001</v>
      </c>
      <c r="Y251" s="60">
        <f t="shared" si="83"/>
        <v>1.0000053934814384</v>
      </c>
      <c r="Z251" s="60">
        <f t="shared" si="96"/>
        <v>5.393481438353831E-6</v>
      </c>
      <c r="AA251" s="14"/>
      <c r="AC251" s="16"/>
      <c r="AD251" s="5"/>
      <c r="AE251" s="5"/>
      <c r="AF251" s="5"/>
      <c r="AG251" s="5"/>
      <c r="AH251" s="5"/>
    </row>
    <row r="252" spans="1:34" s="47" customFormat="1" ht="15" customHeight="1" x14ac:dyDescent="0.2">
      <c r="A252" s="36" t="s">
        <v>585</v>
      </c>
      <c r="B252" s="70" t="s">
        <v>822</v>
      </c>
      <c r="C252" s="21">
        <v>942048</v>
      </c>
      <c r="D252" s="7">
        <v>1925</v>
      </c>
      <c r="E252" s="7">
        <v>35</v>
      </c>
      <c r="F252" s="62">
        <f t="shared" si="91"/>
        <v>285.46909090909088</v>
      </c>
      <c r="G252" s="33">
        <v>471732</v>
      </c>
      <c r="H252" s="61">
        <v>1925</v>
      </c>
      <c r="I252" s="7">
        <v>464</v>
      </c>
      <c r="J252" s="62">
        <f t="shared" si="92"/>
        <v>1895.0965194805194</v>
      </c>
      <c r="K252" s="7">
        <v>6656104</v>
      </c>
      <c r="L252" s="7">
        <v>846720</v>
      </c>
      <c r="M252" s="7">
        <f t="shared" si="93"/>
        <v>116</v>
      </c>
      <c r="N252" s="88">
        <f t="shared" si="86"/>
        <v>911.88121693121684</v>
      </c>
      <c r="O252" s="88">
        <f t="shared" si="87"/>
        <v>3092.4468273208272</v>
      </c>
      <c r="P252" s="88">
        <f t="shared" si="90"/>
        <v>933.91894185088984</v>
      </c>
      <c r="Q252" s="69">
        <f t="shared" si="88"/>
        <v>3154.2957638672437</v>
      </c>
      <c r="R252" s="63">
        <v>471.5</v>
      </c>
      <c r="S252" s="63">
        <f t="shared" si="94"/>
        <v>471.5</v>
      </c>
      <c r="T252" s="78">
        <f t="shared" si="95"/>
        <v>471.5</v>
      </c>
      <c r="U252" s="9">
        <f t="shared" ref="U252:U310" si="97">N252+O252+P252+Q252+T252</f>
        <v>8564.0427499701782</v>
      </c>
      <c r="V252" s="88">
        <f t="shared" si="89"/>
        <v>2141.0106874925445</v>
      </c>
      <c r="W252" s="42">
        <v>11645</v>
      </c>
      <c r="X252" s="71">
        <v>11644.5</v>
      </c>
      <c r="Y252" s="60">
        <f t="shared" si="83"/>
        <v>1.0000429387264373</v>
      </c>
      <c r="Z252" s="60">
        <f t="shared" si="96"/>
        <v>4.2938726437347086E-5</v>
      </c>
      <c r="AA252" s="14"/>
      <c r="AC252" s="16"/>
      <c r="AD252" s="5"/>
      <c r="AE252" s="5"/>
      <c r="AF252" s="5"/>
      <c r="AG252" s="5"/>
      <c r="AH252" s="5"/>
    </row>
    <row r="253" spans="1:34" s="47" customFormat="1" ht="15" customHeight="1" x14ac:dyDescent="0.2">
      <c r="A253" s="36" t="s">
        <v>586</v>
      </c>
      <c r="B253" s="70" t="s">
        <v>823</v>
      </c>
      <c r="C253" s="21">
        <v>942048</v>
      </c>
      <c r="D253" s="61">
        <v>1925</v>
      </c>
      <c r="E253" s="7">
        <v>35</v>
      </c>
      <c r="F253" s="62">
        <f t="shared" si="91"/>
        <v>285.46909090909088</v>
      </c>
      <c r="G253" s="33">
        <v>471732</v>
      </c>
      <c r="H253" s="61">
        <v>1925</v>
      </c>
      <c r="I253" s="7">
        <v>256</v>
      </c>
      <c r="J253" s="62">
        <f t="shared" si="92"/>
        <v>1045.5704935064934</v>
      </c>
      <c r="K253" s="7">
        <v>6656104</v>
      </c>
      <c r="L253" s="7">
        <v>846720</v>
      </c>
      <c r="M253" s="7">
        <f t="shared" si="93"/>
        <v>64</v>
      </c>
      <c r="N253" s="88">
        <f t="shared" si="86"/>
        <v>503.10687830687829</v>
      </c>
      <c r="O253" s="88">
        <f t="shared" si="87"/>
        <v>1834.1464627224627</v>
      </c>
      <c r="P253" s="88">
        <f t="shared" si="90"/>
        <v>553.91223174218374</v>
      </c>
      <c r="Q253" s="69">
        <f t="shared" si="88"/>
        <v>1870.8293919769121</v>
      </c>
      <c r="R253" s="63">
        <v>471.5</v>
      </c>
      <c r="S253" s="63">
        <f t="shared" si="94"/>
        <v>471.5</v>
      </c>
      <c r="T253" s="78">
        <f t="shared" si="95"/>
        <v>471.5</v>
      </c>
      <c r="U253" s="9">
        <f t="shared" si="97"/>
        <v>5233.4949647484373</v>
      </c>
      <c r="V253" s="88">
        <f t="shared" si="89"/>
        <v>1308.3737411871093</v>
      </c>
      <c r="W253" s="42">
        <v>10303</v>
      </c>
      <c r="X253" s="71">
        <v>10302.6</v>
      </c>
      <c r="Y253" s="60">
        <f t="shared" si="83"/>
        <v>1.0000388251509327</v>
      </c>
      <c r="Z253" s="60">
        <f t="shared" si="96"/>
        <v>3.8825150932675356E-5</v>
      </c>
      <c r="AA253" s="14"/>
      <c r="AC253" s="16"/>
      <c r="AD253" s="5"/>
      <c r="AE253" s="5"/>
      <c r="AF253" s="5"/>
      <c r="AG253" s="5"/>
      <c r="AH253" s="5"/>
    </row>
    <row r="254" spans="1:34" s="47" customFormat="1" ht="15" customHeight="1" x14ac:dyDescent="0.2">
      <c r="A254" s="36" t="s">
        <v>587</v>
      </c>
      <c r="B254" s="70" t="s">
        <v>824</v>
      </c>
      <c r="C254" s="21">
        <v>942048</v>
      </c>
      <c r="D254" s="7">
        <v>1925</v>
      </c>
      <c r="E254" s="7">
        <v>35</v>
      </c>
      <c r="F254" s="62">
        <f t="shared" si="91"/>
        <v>285.46909090909088</v>
      </c>
      <c r="G254" s="33">
        <v>471732</v>
      </c>
      <c r="H254" s="61">
        <v>1925</v>
      </c>
      <c r="I254" s="7">
        <v>256</v>
      </c>
      <c r="J254" s="62">
        <f t="shared" si="92"/>
        <v>1045.5704935064934</v>
      </c>
      <c r="K254" s="7">
        <v>6656104</v>
      </c>
      <c r="L254" s="7">
        <v>846720</v>
      </c>
      <c r="M254" s="7">
        <f t="shared" si="93"/>
        <v>64</v>
      </c>
      <c r="N254" s="88">
        <f t="shared" si="86"/>
        <v>503.10687830687829</v>
      </c>
      <c r="O254" s="88">
        <f t="shared" si="87"/>
        <v>1834.1464627224627</v>
      </c>
      <c r="P254" s="88">
        <f t="shared" si="90"/>
        <v>553.91223174218374</v>
      </c>
      <c r="Q254" s="69">
        <f t="shared" si="88"/>
        <v>1870.8293919769121</v>
      </c>
      <c r="R254" s="63">
        <v>471.5</v>
      </c>
      <c r="S254" s="63">
        <f t="shared" si="94"/>
        <v>471.5</v>
      </c>
      <c r="T254" s="78">
        <f t="shared" si="95"/>
        <v>471.5</v>
      </c>
      <c r="U254" s="9">
        <f t="shared" si="97"/>
        <v>5233.4949647484373</v>
      </c>
      <c r="V254" s="88">
        <f t="shared" si="89"/>
        <v>1308.3737411871093</v>
      </c>
      <c r="W254" s="42">
        <v>12629</v>
      </c>
      <c r="X254" s="71">
        <v>12629.4</v>
      </c>
      <c r="Y254" s="60">
        <f t="shared" si="83"/>
        <v>0.99996832786989087</v>
      </c>
      <c r="Z254" s="60">
        <f t="shared" si="96"/>
        <v>-3.1672130109128283E-5</v>
      </c>
      <c r="AA254" s="14"/>
      <c r="AC254" s="16"/>
      <c r="AD254" s="5"/>
      <c r="AE254" s="5"/>
      <c r="AF254" s="5"/>
      <c r="AG254" s="5"/>
      <c r="AH254" s="5"/>
    </row>
    <row r="255" spans="1:34" s="47" customFormat="1" ht="15" customHeight="1" x14ac:dyDescent="0.2">
      <c r="A255" s="36" t="s">
        <v>588</v>
      </c>
      <c r="B255" s="70" t="s">
        <v>788</v>
      </c>
      <c r="C255" s="21">
        <v>942048</v>
      </c>
      <c r="D255" s="61">
        <v>1925</v>
      </c>
      <c r="E255" s="7">
        <v>35</v>
      </c>
      <c r="F255" s="62">
        <f t="shared" si="91"/>
        <v>285.46909090909088</v>
      </c>
      <c r="G255" s="33">
        <v>471732</v>
      </c>
      <c r="H255" s="61">
        <v>1925</v>
      </c>
      <c r="I255" s="7">
        <v>256</v>
      </c>
      <c r="J255" s="62">
        <f t="shared" si="92"/>
        <v>1045.5704935064934</v>
      </c>
      <c r="K255" s="7">
        <v>6656104</v>
      </c>
      <c r="L255" s="7">
        <v>846720</v>
      </c>
      <c r="M255" s="7">
        <f t="shared" si="93"/>
        <v>64</v>
      </c>
      <c r="N255" s="88">
        <f t="shared" si="86"/>
        <v>503.10687830687829</v>
      </c>
      <c r="O255" s="88">
        <f t="shared" si="87"/>
        <v>1834.1464627224627</v>
      </c>
      <c r="P255" s="88">
        <f t="shared" si="90"/>
        <v>553.91223174218374</v>
      </c>
      <c r="Q255" s="69">
        <f t="shared" si="88"/>
        <v>1870.8293919769121</v>
      </c>
      <c r="R255" s="63">
        <v>471.5</v>
      </c>
      <c r="S255" s="63">
        <f t="shared" si="94"/>
        <v>471.5</v>
      </c>
      <c r="T255" s="78">
        <f t="shared" si="95"/>
        <v>471.5</v>
      </c>
      <c r="U255" s="9">
        <f t="shared" si="97"/>
        <v>5233.4949647484373</v>
      </c>
      <c r="V255" s="88">
        <f t="shared" si="89"/>
        <v>1308.3737411871093</v>
      </c>
      <c r="W255" s="42">
        <v>11135</v>
      </c>
      <c r="X255" s="71">
        <v>11135.25</v>
      </c>
      <c r="Y255" s="60">
        <f t="shared" si="83"/>
        <v>0.99997754877528566</v>
      </c>
      <c r="Z255" s="60">
        <f t="shared" si="96"/>
        <v>-2.2451224714337137E-5</v>
      </c>
      <c r="AA255" s="14"/>
      <c r="AC255" s="16"/>
      <c r="AD255" s="5"/>
      <c r="AE255" s="5"/>
      <c r="AF255" s="5"/>
      <c r="AG255" s="5"/>
      <c r="AH255" s="5"/>
    </row>
    <row r="256" spans="1:34" s="47" customFormat="1" ht="15" customHeight="1" x14ac:dyDescent="0.2">
      <c r="A256" s="36" t="s">
        <v>589</v>
      </c>
      <c r="B256" s="70" t="s">
        <v>789</v>
      </c>
      <c r="C256" s="21">
        <v>942048</v>
      </c>
      <c r="D256" s="7">
        <v>1925</v>
      </c>
      <c r="E256" s="7">
        <v>35</v>
      </c>
      <c r="F256" s="62">
        <f t="shared" si="91"/>
        <v>285.46909090909088</v>
      </c>
      <c r="G256" s="33">
        <v>471732</v>
      </c>
      <c r="H256" s="61">
        <v>1925</v>
      </c>
      <c r="I256" s="7">
        <v>464</v>
      </c>
      <c r="J256" s="62">
        <f t="shared" si="92"/>
        <v>1895.0965194805194</v>
      </c>
      <c r="K256" s="7">
        <v>6656104</v>
      </c>
      <c r="L256" s="7">
        <v>846720</v>
      </c>
      <c r="M256" s="7">
        <f t="shared" si="93"/>
        <v>116</v>
      </c>
      <c r="N256" s="88">
        <f t="shared" si="86"/>
        <v>911.88121693121684</v>
      </c>
      <c r="O256" s="88">
        <f t="shared" si="87"/>
        <v>3092.4468273208272</v>
      </c>
      <c r="P256" s="88">
        <f t="shared" si="90"/>
        <v>933.91894185088984</v>
      </c>
      <c r="Q256" s="69">
        <f t="shared" si="88"/>
        <v>3154.2957638672437</v>
      </c>
      <c r="R256" s="63">
        <v>1030.7</v>
      </c>
      <c r="S256" s="63">
        <f t="shared" si="94"/>
        <v>1030.7</v>
      </c>
      <c r="T256" s="78">
        <f t="shared" si="95"/>
        <v>1030.7</v>
      </c>
      <c r="U256" s="9">
        <f t="shared" si="97"/>
        <v>9123.2427499701789</v>
      </c>
      <c r="V256" s="88">
        <f t="shared" si="89"/>
        <v>2280.8106874925447</v>
      </c>
      <c r="W256" s="42">
        <v>10334</v>
      </c>
      <c r="X256" s="71">
        <v>10334.1</v>
      </c>
      <c r="Y256" s="60">
        <f t="shared" si="83"/>
        <v>0.99999032329859394</v>
      </c>
      <c r="Z256" s="60">
        <f t="shared" si="96"/>
        <v>-9.6767014060583634E-6</v>
      </c>
      <c r="AA256" s="14"/>
      <c r="AC256" s="16"/>
      <c r="AD256" s="5"/>
      <c r="AE256" s="5"/>
      <c r="AF256" s="5"/>
      <c r="AG256" s="5"/>
      <c r="AH256" s="5"/>
    </row>
    <row r="257" spans="1:34" s="47" customFormat="1" ht="15" customHeight="1" x14ac:dyDescent="0.2">
      <c r="A257" s="36" t="s">
        <v>590</v>
      </c>
      <c r="B257" s="70" t="s">
        <v>790</v>
      </c>
      <c r="C257" s="21">
        <v>942048</v>
      </c>
      <c r="D257" s="61">
        <v>1925</v>
      </c>
      <c r="E257" s="7">
        <v>35</v>
      </c>
      <c r="F257" s="62">
        <f t="shared" si="91"/>
        <v>285.46909090909088</v>
      </c>
      <c r="G257" s="33">
        <v>471732</v>
      </c>
      <c r="H257" s="61">
        <v>1925</v>
      </c>
      <c r="I257" s="7">
        <v>256</v>
      </c>
      <c r="J257" s="62">
        <f t="shared" si="92"/>
        <v>1045.5704935064934</v>
      </c>
      <c r="K257" s="7">
        <v>6656104</v>
      </c>
      <c r="L257" s="7">
        <v>846720</v>
      </c>
      <c r="M257" s="7">
        <f t="shared" si="93"/>
        <v>64</v>
      </c>
      <c r="N257" s="88">
        <f t="shared" si="86"/>
        <v>503.10687830687829</v>
      </c>
      <c r="O257" s="88">
        <f t="shared" si="87"/>
        <v>1834.1464627224627</v>
      </c>
      <c r="P257" s="88">
        <f t="shared" si="90"/>
        <v>553.91223174218374</v>
      </c>
      <c r="Q257" s="69">
        <f t="shared" si="88"/>
        <v>1870.8293919769121</v>
      </c>
      <c r="R257" s="63">
        <v>471.5</v>
      </c>
      <c r="S257" s="63">
        <f t="shared" si="94"/>
        <v>471.5</v>
      </c>
      <c r="T257" s="78">
        <f t="shared" si="95"/>
        <v>471.5</v>
      </c>
      <c r="U257" s="9">
        <f t="shared" si="97"/>
        <v>5233.4949647484373</v>
      </c>
      <c r="V257" s="88">
        <f t="shared" si="89"/>
        <v>1308.3737411871093</v>
      </c>
      <c r="W257" s="42">
        <v>5975</v>
      </c>
      <c r="X257" s="71">
        <v>5974.5</v>
      </c>
      <c r="Y257" s="60">
        <f t="shared" si="83"/>
        <v>1.0000836890116327</v>
      </c>
      <c r="Z257" s="60">
        <f t="shared" si="96"/>
        <v>8.3689011632692711E-5</v>
      </c>
      <c r="AA257" s="14"/>
      <c r="AC257" s="16"/>
      <c r="AD257" s="5"/>
      <c r="AE257" s="5"/>
      <c r="AF257" s="5"/>
      <c r="AG257" s="5"/>
      <c r="AH257" s="5"/>
    </row>
    <row r="258" spans="1:34" ht="15" customHeight="1" x14ac:dyDescent="0.2">
      <c r="A258" s="36" t="s">
        <v>591</v>
      </c>
      <c r="B258" s="70" t="s">
        <v>791</v>
      </c>
      <c r="C258" s="21">
        <v>942048</v>
      </c>
      <c r="D258" s="7">
        <v>1925</v>
      </c>
      <c r="E258" s="7">
        <v>35</v>
      </c>
      <c r="F258" s="62">
        <f t="shared" si="91"/>
        <v>285.46909090909088</v>
      </c>
      <c r="G258" s="33">
        <v>471732</v>
      </c>
      <c r="H258" s="61">
        <v>1925</v>
      </c>
      <c r="I258" s="7">
        <v>464</v>
      </c>
      <c r="J258" s="62">
        <f t="shared" si="92"/>
        <v>1895.0965194805194</v>
      </c>
      <c r="K258" s="7">
        <v>6656104</v>
      </c>
      <c r="L258" s="7">
        <v>846720</v>
      </c>
      <c r="M258" s="7">
        <f t="shared" si="93"/>
        <v>116</v>
      </c>
      <c r="N258" s="88">
        <f t="shared" si="86"/>
        <v>911.88121693121684</v>
      </c>
      <c r="O258" s="88">
        <f t="shared" si="87"/>
        <v>3092.4468273208272</v>
      </c>
      <c r="P258" s="88">
        <f t="shared" si="90"/>
        <v>933.91894185088984</v>
      </c>
      <c r="Q258" s="69">
        <f t="shared" si="88"/>
        <v>3154.2957638672437</v>
      </c>
      <c r="R258" s="63">
        <v>1030.7</v>
      </c>
      <c r="S258" s="63">
        <f t="shared" si="94"/>
        <v>1030.7</v>
      </c>
      <c r="T258" s="78">
        <f t="shared" si="95"/>
        <v>1030.7</v>
      </c>
      <c r="U258" s="9">
        <f t="shared" si="97"/>
        <v>9123.2427499701789</v>
      </c>
      <c r="V258" s="88">
        <f t="shared" si="89"/>
        <v>2280.8106874925447</v>
      </c>
      <c r="W258" s="42">
        <v>12669</v>
      </c>
      <c r="X258" s="71">
        <v>12669.3</v>
      </c>
      <c r="Y258" s="60">
        <f t="shared" si="83"/>
        <v>0.99997632071227305</v>
      </c>
      <c r="Z258" s="60">
        <f t="shared" si="96"/>
        <v>-2.3679287726952047E-5</v>
      </c>
      <c r="AA258" s="14"/>
    </row>
    <row r="259" spans="1:34" ht="15" customHeight="1" x14ac:dyDescent="0.2">
      <c r="A259" s="36" t="s">
        <v>592</v>
      </c>
      <c r="B259" s="70" t="s">
        <v>792</v>
      </c>
      <c r="C259" s="21">
        <v>942048</v>
      </c>
      <c r="D259" s="61">
        <v>1925</v>
      </c>
      <c r="E259" s="7">
        <v>35</v>
      </c>
      <c r="F259" s="62">
        <f t="shared" si="91"/>
        <v>285.46909090909088</v>
      </c>
      <c r="G259" s="33">
        <v>471732</v>
      </c>
      <c r="H259" s="61">
        <v>1925</v>
      </c>
      <c r="I259" s="7">
        <v>464</v>
      </c>
      <c r="J259" s="62">
        <f t="shared" si="92"/>
        <v>1895.0965194805194</v>
      </c>
      <c r="K259" s="7">
        <v>6656104</v>
      </c>
      <c r="L259" s="7">
        <v>846720</v>
      </c>
      <c r="M259" s="7">
        <f t="shared" si="93"/>
        <v>116</v>
      </c>
      <c r="N259" s="88">
        <f t="shared" si="86"/>
        <v>911.88121693121684</v>
      </c>
      <c r="O259" s="88">
        <f t="shared" si="87"/>
        <v>3092.4468273208272</v>
      </c>
      <c r="P259" s="88">
        <f t="shared" si="90"/>
        <v>933.91894185088984</v>
      </c>
      <c r="Q259" s="69">
        <f t="shared" si="88"/>
        <v>3154.2957638672437</v>
      </c>
      <c r="R259" s="63">
        <v>1030.7</v>
      </c>
      <c r="S259" s="63">
        <f t="shared" si="94"/>
        <v>1030.7</v>
      </c>
      <c r="T259" s="78">
        <f t="shared" si="95"/>
        <v>1030.7</v>
      </c>
      <c r="U259" s="9">
        <f t="shared" si="97"/>
        <v>9123.2427499701789</v>
      </c>
      <c r="V259" s="88">
        <f t="shared" si="89"/>
        <v>2280.8106874925447</v>
      </c>
      <c r="W259" s="42">
        <v>11393</v>
      </c>
      <c r="X259" s="71">
        <v>11392.5</v>
      </c>
      <c r="Y259" s="60">
        <f t="shared" si="83"/>
        <v>1.0000438885231513</v>
      </c>
      <c r="Z259" s="60">
        <f t="shared" si="96"/>
        <v>4.3888523151291992E-5</v>
      </c>
      <c r="AA259" s="14"/>
    </row>
    <row r="260" spans="1:34" ht="15" customHeight="1" x14ac:dyDescent="0.2">
      <c r="A260" s="36" t="s">
        <v>593</v>
      </c>
      <c r="B260" s="70" t="s">
        <v>793</v>
      </c>
      <c r="C260" s="21">
        <v>942048</v>
      </c>
      <c r="D260" s="7">
        <v>1925</v>
      </c>
      <c r="E260" s="7">
        <v>35</v>
      </c>
      <c r="F260" s="62">
        <f t="shared" si="91"/>
        <v>285.46909090909088</v>
      </c>
      <c r="G260" s="33">
        <v>471732</v>
      </c>
      <c r="H260" s="61">
        <v>1925</v>
      </c>
      <c r="I260" s="7">
        <v>256</v>
      </c>
      <c r="J260" s="62">
        <f t="shared" si="92"/>
        <v>1045.5704935064934</v>
      </c>
      <c r="K260" s="7">
        <v>6656104</v>
      </c>
      <c r="L260" s="7">
        <v>846720</v>
      </c>
      <c r="M260" s="7">
        <f t="shared" si="93"/>
        <v>64</v>
      </c>
      <c r="N260" s="88">
        <f t="shared" si="86"/>
        <v>503.10687830687829</v>
      </c>
      <c r="O260" s="88">
        <f t="shared" si="87"/>
        <v>1834.1464627224627</v>
      </c>
      <c r="P260" s="88">
        <f t="shared" si="90"/>
        <v>553.91223174218374</v>
      </c>
      <c r="Q260" s="69">
        <f t="shared" si="88"/>
        <v>1870.8293919769121</v>
      </c>
      <c r="R260" s="63">
        <v>471.5</v>
      </c>
      <c r="S260" s="63">
        <f t="shared" si="94"/>
        <v>471.5</v>
      </c>
      <c r="T260" s="78">
        <f t="shared" si="95"/>
        <v>471.5</v>
      </c>
      <c r="U260" s="9">
        <f t="shared" si="97"/>
        <v>5233.4949647484373</v>
      </c>
      <c r="V260" s="88">
        <f t="shared" si="89"/>
        <v>1308.3737411871093</v>
      </c>
      <c r="W260" s="42">
        <v>7176</v>
      </c>
      <c r="X260" s="71">
        <v>7175.7</v>
      </c>
      <c r="Y260" s="60">
        <f t="shared" si="83"/>
        <v>1.0000418077678832</v>
      </c>
      <c r="Z260" s="60">
        <f t="shared" si="96"/>
        <v>4.1807767883206282E-5</v>
      </c>
      <c r="AA260" s="14"/>
    </row>
    <row r="261" spans="1:34" ht="15" customHeight="1" x14ac:dyDescent="0.2">
      <c r="A261" s="36" t="s">
        <v>594</v>
      </c>
      <c r="B261" s="27" t="s">
        <v>32</v>
      </c>
      <c r="C261" s="21">
        <v>942048</v>
      </c>
      <c r="D261" s="7">
        <v>1650</v>
      </c>
      <c r="E261" s="7">
        <v>15</v>
      </c>
      <c r="F261" s="8">
        <f t="shared" ref="F261:F273" si="98">C261/D261/60*E261</f>
        <v>142.73454545454547</v>
      </c>
      <c r="G261" s="33">
        <v>471732</v>
      </c>
      <c r="H261" s="7">
        <v>1925</v>
      </c>
      <c r="I261" s="7">
        <v>10</v>
      </c>
      <c r="J261" s="8">
        <f t="shared" ref="J261:J273" si="99">G261/H261/60*I261</f>
        <v>40.842597402597399</v>
      </c>
      <c r="K261" s="7">
        <v>0</v>
      </c>
      <c r="L261" s="7">
        <v>1</v>
      </c>
      <c r="M261" s="7">
        <v>0</v>
      </c>
      <c r="N261" s="75">
        <f t="shared" ref="N261:N273" si="100">K261/L261*M261</f>
        <v>0</v>
      </c>
      <c r="O261" s="75">
        <f t="shared" ref="O261:O272" si="101">F261+J261+N261</f>
        <v>183.57714285714286</v>
      </c>
      <c r="P261" s="75">
        <f>O261*0.302</f>
        <v>55.44029714285714</v>
      </c>
      <c r="Q261" s="8">
        <f>(O261)*102%</f>
        <v>187.24868571428573</v>
      </c>
      <c r="R261" s="63">
        <f>15.74+17.02+12.27*10+0.94*100+1.8*2+0.23*10</f>
        <v>255.35999999999999</v>
      </c>
      <c r="S261" s="63">
        <v>255.35999999999999</v>
      </c>
      <c r="T261" s="78">
        <f t="shared" si="95"/>
        <v>255.35999999999999</v>
      </c>
      <c r="U261" s="9">
        <f t="shared" si="97"/>
        <v>681.62612571428576</v>
      </c>
      <c r="V261" s="75">
        <f t="shared" ref="V261:V307" si="102">U261*25%</f>
        <v>170.40653142857144</v>
      </c>
      <c r="W261" s="42">
        <v>852</v>
      </c>
      <c r="X261" s="71">
        <v>851.65932779220782</v>
      </c>
      <c r="Y261" s="64">
        <f t="shared" si="83"/>
        <v>1.0004000099531292</v>
      </c>
      <c r="Z261" s="60">
        <f t="shared" si="96"/>
        <v>4.0000995312916565E-4</v>
      </c>
      <c r="AA261" s="14"/>
    </row>
    <row r="262" spans="1:34" ht="15" customHeight="1" x14ac:dyDescent="0.2">
      <c r="A262" s="36" t="s">
        <v>595</v>
      </c>
      <c r="B262" s="27" t="s">
        <v>183</v>
      </c>
      <c r="C262" s="21">
        <v>942048</v>
      </c>
      <c r="D262" s="7">
        <v>1650</v>
      </c>
      <c r="E262" s="7">
        <v>15</v>
      </c>
      <c r="F262" s="8">
        <f t="shared" si="98"/>
        <v>142.73454545454547</v>
      </c>
      <c r="G262" s="33">
        <v>471732</v>
      </c>
      <c r="H262" s="7">
        <v>1925</v>
      </c>
      <c r="I262" s="7">
        <v>10</v>
      </c>
      <c r="J262" s="8">
        <f t="shared" si="99"/>
        <v>40.842597402597399</v>
      </c>
      <c r="K262" s="7">
        <v>0</v>
      </c>
      <c r="L262" s="7">
        <v>1</v>
      </c>
      <c r="M262" s="7">
        <v>0</v>
      </c>
      <c r="N262" s="75">
        <f t="shared" si="100"/>
        <v>0</v>
      </c>
      <c r="O262" s="75">
        <f t="shared" si="101"/>
        <v>183.57714285714286</v>
      </c>
      <c r="P262" s="75">
        <f>O262*0.302</f>
        <v>55.44029714285714</v>
      </c>
      <c r="Q262" s="8">
        <f t="shared" ref="Q262:Q273" si="103">(O262)*102%</f>
        <v>187.24868571428573</v>
      </c>
      <c r="R262" s="63">
        <f>0.36*200+15.74*2+1.635*2+1.54*2+0.21*10+17.02*2</f>
        <v>145.97</v>
      </c>
      <c r="S262" s="63">
        <v>145.97</v>
      </c>
      <c r="T262" s="78">
        <f t="shared" si="95"/>
        <v>145.97</v>
      </c>
      <c r="U262" s="9">
        <f t="shared" si="97"/>
        <v>572.23612571428578</v>
      </c>
      <c r="V262" s="75">
        <f t="shared" si="102"/>
        <v>143.05903142857144</v>
      </c>
      <c r="W262" s="42">
        <v>715</v>
      </c>
      <c r="X262" s="71">
        <v>673.06109324675333</v>
      </c>
      <c r="Y262" s="64">
        <f t="shared" si="83"/>
        <v>1.0623106983512287</v>
      </c>
      <c r="Z262" s="60">
        <f t="shared" si="96"/>
        <v>6.231069835122871E-2</v>
      </c>
      <c r="AA262" s="14"/>
    </row>
    <row r="263" spans="1:34" ht="15" customHeight="1" x14ac:dyDescent="0.2">
      <c r="A263" s="36" t="s">
        <v>596</v>
      </c>
      <c r="B263" s="27" t="s">
        <v>10</v>
      </c>
      <c r="C263" s="21">
        <v>942048</v>
      </c>
      <c r="D263" s="7">
        <v>1650</v>
      </c>
      <c r="E263" s="7">
        <v>9</v>
      </c>
      <c r="F263" s="8">
        <f t="shared" si="98"/>
        <v>85.640727272727275</v>
      </c>
      <c r="G263" s="33">
        <v>471732</v>
      </c>
      <c r="H263" s="7">
        <v>1925</v>
      </c>
      <c r="I263" s="7">
        <v>3</v>
      </c>
      <c r="J263" s="8">
        <f t="shared" si="99"/>
        <v>12.252779220779221</v>
      </c>
      <c r="K263" s="7">
        <v>0</v>
      </c>
      <c r="L263" s="7">
        <v>1</v>
      </c>
      <c r="M263" s="7">
        <v>0</v>
      </c>
      <c r="N263" s="75">
        <f t="shared" si="100"/>
        <v>0</v>
      </c>
      <c r="O263" s="75">
        <f t="shared" si="101"/>
        <v>97.893506493506493</v>
      </c>
      <c r="P263" s="75">
        <f t="shared" ref="P263:P270" si="104">O263*0.302</f>
        <v>29.563838961038961</v>
      </c>
      <c r="Q263" s="8">
        <f t="shared" si="103"/>
        <v>99.851376623376623</v>
      </c>
      <c r="R263" s="63">
        <f>15.74+20+0.36*400+17.02+1.635*2+1.54*2</f>
        <v>203.11000000000004</v>
      </c>
      <c r="S263" s="63">
        <v>203.11000000000004</v>
      </c>
      <c r="T263" s="78">
        <f t="shared" si="95"/>
        <v>203.11000000000004</v>
      </c>
      <c r="U263" s="9">
        <f t="shared" si="97"/>
        <v>430.4187220779221</v>
      </c>
      <c r="V263" s="75">
        <f t="shared" si="102"/>
        <v>107.60468051948052</v>
      </c>
      <c r="W263" s="42">
        <v>538</v>
      </c>
      <c r="X263" s="71">
        <v>514.92674000000011</v>
      </c>
      <c r="Y263" s="64">
        <f t="shared" ref="Y263:Y326" si="105">W263/X263</f>
        <v>1.0448088207654547</v>
      </c>
      <c r="Z263" s="60">
        <f t="shared" si="96"/>
        <v>4.4808820765454671E-2</v>
      </c>
      <c r="AA263" s="14"/>
    </row>
    <row r="264" spans="1:34" s="65" customFormat="1" ht="15" customHeight="1" x14ac:dyDescent="0.2">
      <c r="A264" s="36" t="s">
        <v>597</v>
      </c>
      <c r="B264" s="27" t="s">
        <v>182</v>
      </c>
      <c r="C264" s="21">
        <v>942048</v>
      </c>
      <c r="D264" s="7">
        <v>1650</v>
      </c>
      <c r="E264" s="7">
        <v>2</v>
      </c>
      <c r="F264" s="8">
        <f t="shared" si="98"/>
        <v>19.031272727272729</v>
      </c>
      <c r="G264" s="33">
        <v>471732</v>
      </c>
      <c r="H264" s="7">
        <v>1925</v>
      </c>
      <c r="I264" s="7">
        <v>1</v>
      </c>
      <c r="J264" s="8">
        <f t="shared" si="99"/>
        <v>4.08425974025974</v>
      </c>
      <c r="K264" s="7">
        <v>0</v>
      </c>
      <c r="L264" s="7">
        <v>1</v>
      </c>
      <c r="M264" s="7">
        <v>0</v>
      </c>
      <c r="N264" s="75">
        <f t="shared" si="100"/>
        <v>0</v>
      </c>
      <c r="O264" s="75">
        <f t="shared" si="101"/>
        <v>23.115532467532468</v>
      </c>
      <c r="P264" s="75">
        <f t="shared" si="104"/>
        <v>6.9808908051948046</v>
      </c>
      <c r="Q264" s="8">
        <f t="shared" si="103"/>
        <v>23.577843116883116</v>
      </c>
      <c r="R264" s="63">
        <f>15.74*3+17.02+1.54*2+1.635*2+13.27*5</f>
        <v>136.94</v>
      </c>
      <c r="S264" s="63">
        <f>15.74*3+17.02+1.54*2+1.635*2+13.27*5</f>
        <v>136.94</v>
      </c>
      <c r="T264" s="78">
        <f t="shared" si="95"/>
        <v>136.94</v>
      </c>
      <c r="U264" s="9">
        <f t="shared" si="97"/>
        <v>190.61426638961038</v>
      </c>
      <c r="V264" s="75">
        <f t="shared" si="102"/>
        <v>47.653566597402595</v>
      </c>
      <c r="W264" s="42">
        <v>238</v>
      </c>
      <c r="X264" s="71">
        <v>223.41658233766231</v>
      </c>
      <c r="Y264" s="64">
        <f t="shared" si="105"/>
        <v>1.0652745535257402</v>
      </c>
      <c r="Z264" s="60">
        <f t="shared" si="96"/>
        <v>6.5274553525740187E-2</v>
      </c>
      <c r="AA264" s="14"/>
      <c r="AB264" s="47"/>
      <c r="AC264" s="16"/>
      <c r="AD264" s="5"/>
      <c r="AE264" s="5"/>
      <c r="AF264" s="5"/>
      <c r="AG264" s="5"/>
    </row>
    <row r="265" spans="1:34" ht="15" customHeight="1" x14ac:dyDescent="0.2">
      <c r="A265" s="36" t="s">
        <v>598</v>
      </c>
      <c r="B265" s="27" t="s">
        <v>180</v>
      </c>
      <c r="C265" s="21">
        <v>942048</v>
      </c>
      <c r="D265" s="7">
        <v>1650</v>
      </c>
      <c r="E265" s="7">
        <v>8</v>
      </c>
      <c r="F265" s="8">
        <f t="shared" si="98"/>
        <v>76.125090909090915</v>
      </c>
      <c r="G265" s="33">
        <v>471732</v>
      </c>
      <c r="H265" s="7">
        <v>1925</v>
      </c>
      <c r="I265" s="7">
        <v>1</v>
      </c>
      <c r="J265" s="8">
        <f t="shared" si="99"/>
        <v>4.08425974025974</v>
      </c>
      <c r="K265" s="7">
        <v>0</v>
      </c>
      <c r="L265" s="7">
        <v>1</v>
      </c>
      <c r="M265" s="7">
        <v>0</v>
      </c>
      <c r="N265" s="75">
        <f t="shared" si="100"/>
        <v>0</v>
      </c>
      <c r="O265" s="75">
        <f t="shared" si="101"/>
        <v>80.209350649350654</v>
      </c>
      <c r="P265" s="75">
        <f t="shared" si="104"/>
        <v>24.223223896103896</v>
      </c>
      <c r="Q265" s="8">
        <f t="shared" si="103"/>
        <v>81.813537662337666</v>
      </c>
      <c r="R265" s="63">
        <f>15.74+17.02+2.9*5</f>
        <v>47.26</v>
      </c>
      <c r="S265" s="63">
        <v>47.26</v>
      </c>
      <c r="T265" s="78">
        <f t="shared" si="95"/>
        <v>47.26</v>
      </c>
      <c r="U265" s="9">
        <f t="shared" si="97"/>
        <v>233.5061122077922</v>
      </c>
      <c r="V265" s="75">
        <f t="shared" si="102"/>
        <v>58.37652805194805</v>
      </c>
      <c r="W265" s="42">
        <v>292</v>
      </c>
      <c r="X265" s="71">
        <v>278.59084883116878</v>
      </c>
      <c r="Y265" s="64">
        <f t="shared" si="105"/>
        <v>1.0481320589857472</v>
      </c>
      <c r="Z265" s="60">
        <f t="shared" si="96"/>
        <v>4.8132058985747239E-2</v>
      </c>
      <c r="AA265" s="14"/>
    </row>
    <row r="266" spans="1:34" ht="15" customHeight="1" x14ac:dyDescent="0.2">
      <c r="A266" s="36" t="s">
        <v>599</v>
      </c>
      <c r="B266" s="27" t="s">
        <v>181</v>
      </c>
      <c r="C266" s="21">
        <v>942048</v>
      </c>
      <c r="D266" s="7">
        <v>1650</v>
      </c>
      <c r="E266" s="7">
        <v>4</v>
      </c>
      <c r="F266" s="8">
        <f t="shared" si="98"/>
        <v>38.062545454545457</v>
      </c>
      <c r="G266" s="33">
        <v>471732</v>
      </c>
      <c r="H266" s="7">
        <v>1925</v>
      </c>
      <c r="I266" s="7">
        <v>4</v>
      </c>
      <c r="J266" s="8">
        <f t="shared" si="99"/>
        <v>16.33703896103896</v>
      </c>
      <c r="K266" s="7">
        <v>0</v>
      </c>
      <c r="L266" s="7">
        <v>1</v>
      </c>
      <c r="M266" s="7">
        <v>0</v>
      </c>
      <c r="N266" s="75">
        <f t="shared" si="100"/>
        <v>0</v>
      </c>
      <c r="O266" s="75">
        <f t="shared" si="101"/>
        <v>54.399584415584414</v>
      </c>
      <c r="P266" s="75">
        <f t="shared" si="104"/>
        <v>16.428674493506492</v>
      </c>
      <c r="Q266" s="8">
        <f t="shared" si="103"/>
        <v>55.487576103896103</v>
      </c>
      <c r="R266" s="63">
        <f>15.74+2.9*5+17.02</f>
        <v>47.260000000000005</v>
      </c>
      <c r="S266" s="63">
        <v>47.260000000000005</v>
      </c>
      <c r="T266" s="78">
        <f t="shared" si="95"/>
        <v>47.260000000000005</v>
      </c>
      <c r="U266" s="9">
        <f t="shared" si="97"/>
        <v>173.575835012987</v>
      </c>
      <c r="V266" s="75">
        <f t="shared" si="102"/>
        <v>43.39395875324675</v>
      </c>
      <c r="W266" s="42">
        <v>217</v>
      </c>
      <c r="X266" s="71">
        <v>205.25022753246753</v>
      </c>
      <c r="Y266" s="64">
        <f t="shared" si="105"/>
        <v>1.0572460874162677</v>
      </c>
      <c r="Z266" s="60">
        <f t="shared" si="96"/>
        <v>5.7246087416267688E-2</v>
      </c>
      <c r="AA266" s="14"/>
    </row>
    <row r="267" spans="1:34" ht="15" customHeight="1" x14ac:dyDescent="0.2">
      <c r="A267" s="36" t="s">
        <v>600</v>
      </c>
      <c r="B267" s="27" t="s">
        <v>186</v>
      </c>
      <c r="C267" s="21">
        <v>942048</v>
      </c>
      <c r="D267" s="7">
        <v>1650</v>
      </c>
      <c r="E267" s="7">
        <v>12</v>
      </c>
      <c r="F267" s="8">
        <f t="shared" si="98"/>
        <v>114.18763636363637</v>
      </c>
      <c r="G267" s="33">
        <v>471732</v>
      </c>
      <c r="H267" s="7">
        <v>1925</v>
      </c>
      <c r="I267" s="7">
        <v>8</v>
      </c>
      <c r="J267" s="8">
        <f t="shared" si="99"/>
        <v>32.67407792207792</v>
      </c>
      <c r="K267" s="7">
        <v>0</v>
      </c>
      <c r="L267" s="7">
        <v>1</v>
      </c>
      <c r="M267" s="7">
        <v>0</v>
      </c>
      <c r="N267" s="75">
        <f t="shared" si="100"/>
        <v>0</v>
      </c>
      <c r="O267" s="75">
        <f t="shared" si="101"/>
        <v>146.8617142857143</v>
      </c>
      <c r="P267" s="75">
        <f t="shared" si="104"/>
        <v>44.352237714285714</v>
      </c>
      <c r="Q267" s="8">
        <f t="shared" si="103"/>
        <v>149.79894857142858</v>
      </c>
      <c r="R267" s="63">
        <f>17.02+20+15.74*2</f>
        <v>68.5</v>
      </c>
      <c r="S267" s="63">
        <v>68.5</v>
      </c>
      <c r="T267" s="78">
        <f t="shared" si="95"/>
        <v>68.5</v>
      </c>
      <c r="U267" s="9">
        <f t="shared" si="97"/>
        <v>409.51290057142859</v>
      </c>
      <c r="V267" s="75">
        <f t="shared" si="102"/>
        <v>102.37822514285715</v>
      </c>
      <c r="W267" s="42">
        <v>512</v>
      </c>
      <c r="X267" s="71">
        <v>482.62729142857143</v>
      </c>
      <c r="Y267" s="64">
        <f t="shared" si="105"/>
        <v>1.0608600240663675</v>
      </c>
      <c r="Z267" s="60">
        <f t="shared" si="96"/>
        <v>6.086002406636748E-2</v>
      </c>
      <c r="AA267" s="14"/>
    </row>
    <row r="268" spans="1:34" ht="15" customHeight="1" x14ac:dyDescent="0.2">
      <c r="A268" s="36" t="s">
        <v>601</v>
      </c>
      <c r="B268" s="27" t="s">
        <v>184</v>
      </c>
      <c r="C268" s="21">
        <v>942048</v>
      </c>
      <c r="D268" s="7">
        <v>1650</v>
      </c>
      <c r="E268" s="7">
        <v>23</v>
      </c>
      <c r="F268" s="8">
        <f t="shared" si="98"/>
        <v>218.85963636363638</v>
      </c>
      <c r="G268" s="33">
        <v>471732</v>
      </c>
      <c r="H268" s="7">
        <v>1925</v>
      </c>
      <c r="I268" s="7">
        <v>14</v>
      </c>
      <c r="J268" s="8">
        <f t="shared" si="99"/>
        <v>57.179636363636362</v>
      </c>
      <c r="K268" s="7">
        <v>249000</v>
      </c>
      <c r="L268" s="7">
        <v>846720</v>
      </c>
      <c r="M268" s="7">
        <v>10</v>
      </c>
      <c r="N268" s="75">
        <f t="shared" si="100"/>
        <v>2.9407596371882088</v>
      </c>
      <c r="O268" s="75">
        <f t="shared" si="101"/>
        <v>278.98003236446095</v>
      </c>
      <c r="P268" s="75">
        <f t="shared" si="104"/>
        <v>84.251969774067206</v>
      </c>
      <c r="Q268" s="8">
        <f t="shared" si="103"/>
        <v>284.55963301175018</v>
      </c>
      <c r="R268" s="63">
        <f>1.635*2+15.74+17.02</f>
        <v>36.03</v>
      </c>
      <c r="S268" s="63">
        <v>36.03</v>
      </c>
      <c r="T268" s="78">
        <f t="shared" si="95"/>
        <v>36.03</v>
      </c>
      <c r="U268" s="9">
        <f t="shared" si="97"/>
        <v>686.76239478746652</v>
      </c>
      <c r="V268" s="75">
        <f t="shared" si="102"/>
        <v>171.69059869686663</v>
      </c>
      <c r="W268" s="42">
        <v>858</v>
      </c>
      <c r="X268" s="71">
        <v>830.49189166615122</v>
      </c>
      <c r="Y268" s="64">
        <f t="shared" si="105"/>
        <v>1.0331226693600359</v>
      </c>
      <c r="Z268" s="60">
        <f t="shared" si="96"/>
        <v>3.3122669360035939E-2</v>
      </c>
      <c r="AA268" s="14"/>
    </row>
    <row r="269" spans="1:34" ht="15" customHeight="1" x14ac:dyDescent="0.2">
      <c r="A269" s="36" t="s">
        <v>602</v>
      </c>
      <c r="B269" s="27" t="s">
        <v>187</v>
      </c>
      <c r="C269" s="21">
        <v>942048</v>
      </c>
      <c r="D269" s="7">
        <v>1650</v>
      </c>
      <c r="E269" s="7">
        <v>8</v>
      </c>
      <c r="F269" s="8">
        <f t="shared" si="98"/>
        <v>76.125090909090915</v>
      </c>
      <c r="G269" s="33">
        <v>471732</v>
      </c>
      <c r="H269" s="7">
        <v>1925</v>
      </c>
      <c r="I269" s="7">
        <v>10</v>
      </c>
      <c r="J269" s="8">
        <f t="shared" si="99"/>
        <v>40.842597402597399</v>
      </c>
      <c r="K269" s="7">
        <v>0</v>
      </c>
      <c r="L269" s="7">
        <v>1</v>
      </c>
      <c r="M269" s="7">
        <v>0</v>
      </c>
      <c r="N269" s="75">
        <f t="shared" si="100"/>
        <v>0</v>
      </c>
      <c r="O269" s="75">
        <f t="shared" si="101"/>
        <v>116.96768831168831</v>
      </c>
      <c r="P269" s="75">
        <f t="shared" si="104"/>
        <v>35.324241870129867</v>
      </c>
      <c r="Q269" s="8">
        <f t="shared" si="103"/>
        <v>119.30704207792208</v>
      </c>
      <c r="R269" s="63">
        <f>15.74+12.27*5+20+17.02</f>
        <v>114.10999999999999</v>
      </c>
      <c r="S269" s="63">
        <v>114.10999999999999</v>
      </c>
      <c r="T269" s="78">
        <f t="shared" si="95"/>
        <v>114.10999999999999</v>
      </c>
      <c r="U269" s="9">
        <f t="shared" si="97"/>
        <v>385.70897225974022</v>
      </c>
      <c r="V269" s="75">
        <f t="shared" si="102"/>
        <v>96.427243064935055</v>
      </c>
      <c r="W269" s="42">
        <v>482</v>
      </c>
      <c r="X269" s="71">
        <v>455.74965064935066</v>
      </c>
      <c r="Y269" s="64">
        <f t="shared" si="105"/>
        <v>1.0575981776689196</v>
      </c>
      <c r="Z269" s="60">
        <f t="shared" si="96"/>
        <v>5.7598177668919615E-2</v>
      </c>
      <c r="AA269" s="14"/>
    </row>
    <row r="270" spans="1:34" ht="15" customHeight="1" x14ac:dyDescent="0.2">
      <c r="A270" s="36" t="s">
        <v>603</v>
      </c>
      <c r="B270" s="27" t="s">
        <v>185</v>
      </c>
      <c r="C270" s="21">
        <v>942048</v>
      </c>
      <c r="D270" s="7">
        <v>1650</v>
      </c>
      <c r="E270" s="7">
        <v>20</v>
      </c>
      <c r="F270" s="8">
        <f t="shared" si="98"/>
        <v>190.31272727272727</v>
      </c>
      <c r="G270" s="33">
        <v>471732</v>
      </c>
      <c r="H270" s="7">
        <v>1925</v>
      </c>
      <c r="I270" s="7">
        <v>20</v>
      </c>
      <c r="J270" s="8">
        <f t="shared" si="99"/>
        <v>81.685194805194797</v>
      </c>
      <c r="K270" s="7">
        <v>21712</v>
      </c>
      <c r="L270" s="7">
        <v>846720</v>
      </c>
      <c r="M270" s="7">
        <v>13</v>
      </c>
      <c r="N270" s="75">
        <f t="shared" si="100"/>
        <v>0.3333522297808012</v>
      </c>
      <c r="O270" s="75">
        <f t="shared" si="101"/>
        <v>272.33127430770287</v>
      </c>
      <c r="P270" s="75">
        <f t="shared" si="104"/>
        <v>82.244044840926264</v>
      </c>
      <c r="Q270" s="8">
        <f t="shared" si="103"/>
        <v>277.77789979385693</v>
      </c>
      <c r="R270" s="63">
        <f>15.74*2+2.9*10+1.635*2+17.02*2+0.21*5</f>
        <v>98.84</v>
      </c>
      <c r="S270" s="63">
        <v>98.84</v>
      </c>
      <c r="T270" s="78">
        <f t="shared" si="95"/>
        <v>98.84</v>
      </c>
      <c r="U270" s="9">
        <f t="shared" si="97"/>
        <v>731.52657117226693</v>
      </c>
      <c r="V270" s="75">
        <f t="shared" si="102"/>
        <v>182.88164279306673</v>
      </c>
      <c r="W270" s="42">
        <v>914</v>
      </c>
      <c r="X270" s="71">
        <v>855.81038279650261</v>
      </c>
      <c r="Y270" s="64">
        <f t="shared" si="105"/>
        <v>1.0679935863986052</v>
      </c>
      <c r="Z270" s="60">
        <f t="shared" si="96"/>
        <v>6.7993586398605199E-2</v>
      </c>
      <c r="AA270" s="14"/>
    </row>
    <row r="271" spans="1:34" ht="15" customHeight="1" x14ac:dyDescent="0.2">
      <c r="A271" s="36" t="s">
        <v>604</v>
      </c>
      <c r="B271" s="27" t="s">
        <v>298</v>
      </c>
      <c r="C271" s="21">
        <v>942048</v>
      </c>
      <c r="D271" s="7">
        <v>1650</v>
      </c>
      <c r="E271" s="7">
        <v>20</v>
      </c>
      <c r="F271" s="8">
        <f t="shared" si="98"/>
        <v>190.31272727272727</v>
      </c>
      <c r="G271" s="33">
        <v>471732</v>
      </c>
      <c r="H271" s="7">
        <v>1925</v>
      </c>
      <c r="I271" s="7">
        <v>16</v>
      </c>
      <c r="J271" s="8">
        <f t="shared" si="99"/>
        <v>65.348155844155841</v>
      </c>
      <c r="K271" s="7">
        <v>65510</v>
      </c>
      <c r="L271" s="7">
        <v>673142.4</v>
      </c>
      <c r="M271" s="7">
        <v>20</v>
      </c>
      <c r="N271" s="75">
        <f t="shared" si="100"/>
        <v>1.9463935119820115</v>
      </c>
      <c r="O271" s="75">
        <f t="shared" si="101"/>
        <v>257.60727662886512</v>
      </c>
      <c r="P271" s="75">
        <f>O271*0.302</f>
        <v>77.797397541917263</v>
      </c>
      <c r="Q271" s="8">
        <f t="shared" si="103"/>
        <v>262.75942216144244</v>
      </c>
      <c r="R271" s="63">
        <f>15.12*2+1.635*2+1.54*2+17.02</f>
        <v>53.61</v>
      </c>
      <c r="S271" s="63">
        <v>53.61</v>
      </c>
      <c r="T271" s="78">
        <f t="shared" si="95"/>
        <v>53.61</v>
      </c>
      <c r="U271" s="9">
        <f t="shared" si="97"/>
        <v>653.7204898442069</v>
      </c>
      <c r="V271" s="75">
        <f>U271*25%</f>
        <v>163.43012246105172</v>
      </c>
      <c r="W271" s="42">
        <v>817</v>
      </c>
      <c r="X271" s="71">
        <v>764.44764555201186</v>
      </c>
      <c r="Y271" s="64">
        <f t="shared" si="105"/>
        <v>1.0687455246330699</v>
      </c>
      <c r="Z271" s="60">
        <f t="shared" si="96"/>
        <v>6.8745524633069932E-2</v>
      </c>
      <c r="AA271" s="14"/>
    </row>
    <row r="272" spans="1:34" ht="15" customHeight="1" x14ac:dyDescent="0.2">
      <c r="A272" s="36" t="s">
        <v>605</v>
      </c>
      <c r="B272" s="27" t="s">
        <v>299</v>
      </c>
      <c r="C272" s="21">
        <v>942048</v>
      </c>
      <c r="D272" s="7">
        <v>1650</v>
      </c>
      <c r="E272" s="7">
        <v>12</v>
      </c>
      <c r="F272" s="8">
        <f t="shared" si="98"/>
        <v>114.18763636363637</v>
      </c>
      <c r="G272" s="33">
        <v>471732</v>
      </c>
      <c r="H272" s="7">
        <v>1925</v>
      </c>
      <c r="I272" s="7">
        <v>13</v>
      </c>
      <c r="J272" s="8">
        <f t="shared" si="99"/>
        <v>53.095376623376623</v>
      </c>
      <c r="K272" s="7">
        <v>190930</v>
      </c>
      <c r="L272" s="7">
        <v>673142.4</v>
      </c>
      <c r="M272" s="7">
        <v>15</v>
      </c>
      <c r="N272" s="75">
        <f t="shared" si="100"/>
        <v>4.2545975413226085</v>
      </c>
      <c r="O272" s="75">
        <f t="shared" si="101"/>
        <v>171.53761052833559</v>
      </c>
      <c r="P272" s="75">
        <f>O272*0.302</f>
        <v>51.80435837955735</v>
      </c>
      <c r="Q272" s="8">
        <f t="shared" si="103"/>
        <v>174.9683627389023</v>
      </c>
      <c r="R272" s="63">
        <f>15.74*2+1.54*2</f>
        <v>34.56</v>
      </c>
      <c r="S272" s="63">
        <v>34.56</v>
      </c>
      <c r="T272" s="78">
        <f t="shared" si="95"/>
        <v>34.56</v>
      </c>
      <c r="U272" s="9">
        <f t="shared" si="97"/>
        <v>437.12492918811785</v>
      </c>
      <c r="V272" s="75">
        <f>U272*25%</f>
        <v>109.28123229702946</v>
      </c>
      <c r="W272" s="42">
        <v>546</v>
      </c>
      <c r="X272" s="71">
        <v>509.77374667995258</v>
      </c>
      <c r="Y272" s="64">
        <f t="shared" si="105"/>
        <v>1.0710633953905655</v>
      </c>
      <c r="Z272" s="60">
        <f t="shared" si="96"/>
        <v>7.1063395390565498E-2</v>
      </c>
      <c r="AA272" s="14"/>
    </row>
    <row r="273" spans="1:34" s="47" customFormat="1" ht="15" customHeight="1" x14ac:dyDescent="0.2">
      <c r="A273" s="36" t="s">
        <v>606</v>
      </c>
      <c r="B273" s="27" t="s">
        <v>327</v>
      </c>
      <c r="C273" s="21">
        <v>942048</v>
      </c>
      <c r="D273" s="7">
        <v>1650</v>
      </c>
      <c r="E273" s="7">
        <v>30</v>
      </c>
      <c r="F273" s="8">
        <f t="shared" si="98"/>
        <v>285.46909090909094</v>
      </c>
      <c r="G273" s="33">
        <v>471732</v>
      </c>
      <c r="H273" s="7">
        <v>1925</v>
      </c>
      <c r="I273" s="7">
        <v>20</v>
      </c>
      <c r="J273" s="8">
        <f t="shared" si="99"/>
        <v>81.685194805194797</v>
      </c>
      <c r="K273" s="7">
        <v>0</v>
      </c>
      <c r="L273" s="7">
        <v>1</v>
      </c>
      <c r="M273" s="7">
        <v>0</v>
      </c>
      <c r="N273" s="75">
        <f t="shared" si="100"/>
        <v>0</v>
      </c>
      <c r="O273" s="75">
        <f>F273+J273+N273</f>
        <v>367.15428571428572</v>
      </c>
      <c r="P273" s="75">
        <f>O273*0.302</f>
        <v>110.88059428571428</v>
      </c>
      <c r="Q273" s="8">
        <f t="shared" si="103"/>
        <v>374.49737142857145</v>
      </c>
      <c r="R273" s="63">
        <f>15.74*2+29+17.02</f>
        <v>77.5</v>
      </c>
      <c r="S273" s="63">
        <v>77.5</v>
      </c>
      <c r="T273" s="78">
        <f t="shared" si="95"/>
        <v>77.5</v>
      </c>
      <c r="U273" s="9">
        <f t="shared" si="97"/>
        <v>930.0322514285715</v>
      </c>
      <c r="V273" s="75">
        <f>U273*25%</f>
        <v>232.50806285714287</v>
      </c>
      <c r="W273" s="42">
        <v>1163</v>
      </c>
      <c r="X273" s="71">
        <v>1099.0025537662339</v>
      </c>
      <c r="Y273" s="64">
        <f t="shared" si="105"/>
        <v>1.058232299838112</v>
      </c>
      <c r="Z273" s="60">
        <f t="shared" si="96"/>
        <v>5.8232299838111956E-2</v>
      </c>
      <c r="AA273" s="14"/>
      <c r="AC273" s="16"/>
      <c r="AD273" s="5"/>
      <c r="AE273" s="5"/>
      <c r="AF273" s="5"/>
      <c r="AG273" s="5"/>
      <c r="AH273" s="5"/>
    </row>
    <row r="274" spans="1:34" s="47" customFormat="1" ht="15" customHeight="1" x14ac:dyDescent="0.2">
      <c r="A274" s="36" t="s">
        <v>607</v>
      </c>
      <c r="B274" s="27" t="s">
        <v>261</v>
      </c>
      <c r="C274" s="21">
        <v>942048</v>
      </c>
      <c r="D274" s="7">
        <v>1650</v>
      </c>
      <c r="E274" s="7">
        <v>3</v>
      </c>
      <c r="F274" s="8">
        <f t="shared" ref="F274:F291" si="106">C274/D274/60*E274</f>
        <v>28.546909090909093</v>
      </c>
      <c r="G274" s="33">
        <v>471732</v>
      </c>
      <c r="H274" s="7">
        <v>1925</v>
      </c>
      <c r="I274" s="7">
        <v>1</v>
      </c>
      <c r="J274" s="8">
        <f t="shared" ref="J274:J279" si="107">G274/H274/60*I274</f>
        <v>4.08425974025974</v>
      </c>
      <c r="K274" s="7">
        <v>0</v>
      </c>
      <c r="L274" s="7">
        <v>1</v>
      </c>
      <c r="M274" s="7">
        <v>0</v>
      </c>
      <c r="N274" s="75">
        <f t="shared" ref="N274:N291" si="108">K274/L274*M274</f>
        <v>0</v>
      </c>
      <c r="O274" s="75">
        <f t="shared" ref="O274:O288" si="109">F274+J274+N274</f>
        <v>32.631168831168836</v>
      </c>
      <c r="P274" s="75">
        <f>O274*0.302</f>
        <v>9.8546129870129882</v>
      </c>
      <c r="Q274" s="8">
        <f>(O274)*102%</f>
        <v>33.28379220779221</v>
      </c>
      <c r="R274" s="63">
        <f>0.23*2+2.039*2+2.8+15.74*2+1*2+11+9.17+15.74</f>
        <v>76.727999999999994</v>
      </c>
      <c r="S274" s="63">
        <v>76.727999999999994</v>
      </c>
      <c r="T274" s="78">
        <f t="shared" si="95"/>
        <v>76.727999999999994</v>
      </c>
      <c r="U274" s="9">
        <f t="shared" si="97"/>
        <v>152.49757402597402</v>
      </c>
      <c r="V274" s="75">
        <f t="shared" si="102"/>
        <v>38.124393506493504</v>
      </c>
      <c r="W274" s="42">
        <v>191</v>
      </c>
      <c r="X274" s="71">
        <v>190.01231688311691</v>
      </c>
      <c r="Y274" s="64">
        <f t="shared" si="105"/>
        <v>1.0051979952304388</v>
      </c>
      <c r="Z274" s="60">
        <f t="shared" si="96"/>
        <v>5.1979952304388455E-3</v>
      </c>
      <c r="AA274" s="14"/>
      <c r="AC274" s="16"/>
      <c r="AD274" s="5"/>
      <c r="AE274" s="5"/>
      <c r="AF274" s="5"/>
      <c r="AG274" s="5"/>
      <c r="AH274" s="5"/>
    </row>
    <row r="275" spans="1:34" s="47" customFormat="1" ht="15" customHeight="1" x14ac:dyDescent="0.2">
      <c r="A275" s="36" t="s">
        <v>608</v>
      </c>
      <c r="B275" s="27" t="s">
        <v>262</v>
      </c>
      <c r="C275" s="21">
        <v>942048</v>
      </c>
      <c r="D275" s="7">
        <v>1650</v>
      </c>
      <c r="E275" s="7">
        <v>2</v>
      </c>
      <c r="F275" s="8">
        <f t="shared" si="106"/>
        <v>19.031272727272729</v>
      </c>
      <c r="G275" s="33">
        <v>471732</v>
      </c>
      <c r="H275" s="7">
        <v>1925</v>
      </c>
      <c r="I275" s="7">
        <v>0</v>
      </c>
      <c r="J275" s="8">
        <f t="shared" si="107"/>
        <v>0</v>
      </c>
      <c r="K275" s="7">
        <v>0</v>
      </c>
      <c r="L275" s="7">
        <v>1</v>
      </c>
      <c r="M275" s="7">
        <v>0</v>
      </c>
      <c r="N275" s="75">
        <f t="shared" si="108"/>
        <v>0</v>
      </c>
      <c r="O275" s="75">
        <f t="shared" si="109"/>
        <v>19.031272727272729</v>
      </c>
      <c r="P275" s="75">
        <f>O275*0.302</f>
        <v>5.7474443636363635</v>
      </c>
      <c r="Q275" s="8">
        <f t="shared" ref="Q275:Q291" si="110">(O275)*102%</f>
        <v>19.411898181818184</v>
      </c>
      <c r="R275" s="63">
        <f>0.23*2+2.039*2+2.8+15.74*2+1*2+11+9.17+15.74*2</f>
        <v>92.468000000000004</v>
      </c>
      <c r="S275" s="63">
        <v>92.468000000000004</v>
      </c>
      <c r="T275" s="78">
        <f t="shared" si="95"/>
        <v>92.468000000000004</v>
      </c>
      <c r="U275" s="9">
        <f t="shared" si="97"/>
        <v>136.65861527272727</v>
      </c>
      <c r="V275" s="75">
        <f t="shared" si="102"/>
        <v>34.164653818181819</v>
      </c>
      <c r="W275" s="42">
        <v>171</v>
      </c>
      <c r="X275" s="71">
        <v>167.82658233766233</v>
      </c>
      <c r="Y275" s="64">
        <f t="shared" si="105"/>
        <v>1.0189089095311066</v>
      </c>
      <c r="Z275" s="60">
        <f t="shared" si="96"/>
        <v>1.8908909531106577E-2</v>
      </c>
      <c r="AA275" s="14"/>
      <c r="AC275" s="16"/>
      <c r="AD275" s="5"/>
      <c r="AE275" s="5"/>
      <c r="AF275" s="5"/>
      <c r="AG275" s="5"/>
      <c r="AH275" s="5"/>
    </row>
    <row r="276" spans="1:34" s="47" customFormat="1" ht="15" customHeight="1" x14ac:dyDescent="0.2">
      <c r="A276" s="36" t="s">
        <v>609</v>
      </c>
      <c r="B276" s="28" t="s">
        <v>75</v>
      </c>
      <c r="C276" s="21">
        <v>942048</v>
      </c>
      <c r="D276" s="21">
        <v>1650</v>
      </c>
      <c r="E276" s="21">
        <v>17</v>
      </c>
      <c r="F276" s="9">
        <f t="shared" si="106"/>
        <v>161.76581818181819</v>
      </c>
      <c r="G276" s="33">
        <v>471732</v>
      </c>
      <c r="H276" s="21">
        <v>1925</v>
      </c>
      <c r="I276" s="21">
        <v>10</v>
      </c>
      <c r="J276" s="9">
        <f t="shared" si="107"/>
        <v>40.842597402597399</v>
      </c>
      <c r="K276" s="21">
        <v>0</v>
      </c>
      <c r="L276" s="21">
        <v>1</v>
      </c>
      <c r="M276" s="21">
        <v>0</v>
      </c>
      <c r="N276" s="79">
        <f t="shared" si="108"/>
        <v>0</v>
      </c>
      <c r="O276" s="79">
        <f t="shared" si="109"/>
        <v>202.60841558441558</v>
      </c>
      <c r="P276" s="79">
        <f t="shared" ref="P276:P288" si="111">O276*0.302</f>
        <v>61.187741506493502</v>
      </c>
      <c r="Q276" s="67">
        <f t="shared" si="110"/>
        <v>206.6605838961039</v>
      </c>
      <c r="R276" s="55">
        <f>0.23*2+2.039*5+2.8+2.015+1*5+11*2+0.36*3+15.74*2</f>
        <v>75.03</v>
      </c>
      <c r="S276" s="55">
        <v>75.03</v>
      </c>
      <c r="T276" s="78">
        <f t="shared" si="95"/>
        <v>75.03</v>
      </c>
      <c r="U276" s="9">
        <f t="shared" si="97"/>
        <v>545.48674098701304</v>
      </c>
      <c r="V276" s="79">
        <f t="shared" si="102"/>
        <v>136.37168524675326</v>
      </c>
      <c r="W276" s="42">
        <v>682</v>
      </c>
      <c r="X276" s="71">
        <v>668.10756233766233</v>
      </c>
      <c r="Y276" s="60">
        <f t="shared" si="105"/>
        <v>1.0207937141344861</v>
      </c>
      <c r="Z276" s="60">
        <f t="shared" si="96"/>
        <v>2.0793714134486052E-2</v>
      </c>
      <c r="AA276" s="14"/>
      <c r="AC276" s="16"/>
      <c r="AD276" s="5"/>
      <c r="AE276" s="5"/>
      <c r="AF276" s="5"/>
      <c r="AG276" s="5"/>
      <c r="AH276" s="5"/>
    </row>
    <row r="277" spans="1:34" s="47" customFormat="1" ht="15" customHeight="1" x14ac:dyDescent="0.2">
      <c r="A277" s="36" t="s">
        <v>610</v>
      </c>
      <c r="B277" s="27" t="s">
        <v>316</v>
      </c>
      <c r="C277" s="21">
        <v>942048</v>
      </c>
      <c r="D277" s="7">
        <v>1650</v>
      </c>
      <c r="E277" s="7">
        <v>10</v>
      </c>
      <c r="F277" s="8">
        <f t="shared" si="106"/>
        <v>95.156363636363636</v>
      </c>
      <c r="G277" s="33">
        <v>471732</v>
      </c>
      <c r="H277" s="7">
        <v>1925</v>
      </c>
      <c r="I277" s="7">
        <v>0</v>
      </c>
      <c r="J277" s="8">
        <f t="shared" si="107"/>
        <v>0</v>
      </c>
      <c r="K277" s="7">
        <v>0</v>
      </c>
      <c r="L277" s="7">
        <v>1</v>
      </c>
      <c r="M277" s="7">
        <v>0</v>
      </c>
      <c r="N277" s="75">
        <f t="shared" si="108"/>
        <v>0</v>
      </c>
      <c r="O277" s="75">
        <f t="shared" si="109"/>
        <v>95.156363636363636</v>
      </c>
      <c r="P277" s="75">
        <f t="shared" si="111"/>
        <v>28.737221818181816</v>
      </c>
      <c r="Q277" s="68">
        <f t="shared" si="110"/>
        <v>97.059490909090911</v>
      </c>
      <c r="R277" s="55">
        <f>0.23*2+2.039*5+2.8+2.015+1*5+11+0.947*3+9.67*2+15.74*2+1.88*2</f>
        <v>88.891000000000005</v>
      </c>
      <c r="S277" s="55">
        <v>88.891000000000005</v>
      </c>
      <c r="T277" s="78">
        <f t="shared" si="95"/>
        <v>88.891000000000005</v>
      </c>
      <c r="U277" s="9">
        <f t="shared" si="97"/>
        <v>309.84407636363636</v>
      </c>
      <c r="V277" s="75">
        <f t="shared" si="102"/>
        <v>77.46101909090909</v>
      </c>
      <c r="W277" s="42">
        <v>387</v>
      </c>
      <c r="X277" s="71">
        <v>382.70250948051955</v>
      </c>
      <c r="Y277" s="60">
        <f t="shared" si="105"/>
        <v>1.0112293241173513</v>
      </c>
      <c r="Z277" s="60">
        <f t="shared" si="96"/>
        <v>1.1229324117351336E-2</v>
      </c>
      <c r="AA277" s="14"/>
      <c r="AC277" s="16"/>
      <c r="AD277" s="5"/>
      <c r="AE277" s="5"/>
      <c r="AF277" s="5"/>
      <c r="AG277" s="5"/>
      <c r="AH277" s="5"/>
    </row>
    <row r="278" spans="1:34" s="47" customFormat="1" ht="15" customHeight="1" x14ac:dyDescent="0.2">
      <c r="A278" s="36" t="s">
        <v>611</v>
      </c>
      <c r="B278" s="27" t="s">
        <v>11</v>
      </c>
      <c r="C278" s="21">
        <v>942048</v>
      </c>
      <c r="D278" s="7">
        <v>1650</v>
      </c>
      <c r="E278" s="7">
        <v>5</v>
      </c>
      <c r="F278" s="8">
        <f t="shared" si="106"/>
        <v>47.578181818181818</v>
      </c>
      <c r="G278" s="33">
        <v>471732</v>
      </c>
      <c r="H278" s="7">
        <v>1925</v>
      </c>
      <c r="I278" s="7">
        <v>1</v>
      </c>
      <c r="J278" s="8">
        <f t="shared" si="107"/>
        <v>4.08425974025974</v>
      </c>
      <c r="K278" s="7">
        <v>0</v>
      </c>
      <c r="L278" s="7">
        <v>1</v>
      </c>
      <c r="M278" s="7">
        <v>0</v>
      </c>
      <c r="N278" s="75">
        <f t="shared" si="108"/>
        <v>0</v>
      </c>
      <c r="O278" s="75">
        <f t="shared" si="109"/>
        <v>51.662441558441557</v>
      </c>
      <c r="P278" s="75">
        <f t="shared" si="111"/>
        <v>15.60205735064935</v>
      </c>
      <c r="Q278" s="68">
        <f t="shared" si="110"/>
        <v>52.695690389610391</v>
      </c>
      <c r="R278" s="55">
        <f>16.7</f>
        <v>16.7</v>
      </c>
      <c r="S278" s="55">
        <v>16.7</v>
      </c>
      <c r="T278" s="78">
        <f t="shared" si="95"/>
        <v>16.7</v>
      </c>
      <c r="U278" s="9">
        <f t="shared" si="97"/>
        <v>136.66018929870128</v>
      </c>
      <c r="V278" s="75">
        <f t="shared" si="102"/>
        <v>34.165047324675321</v>
      </c>
      <c r="W278" s="42">
        <v>171</v>
      </c>
      <c r="X278" s="71">
        <v>167.21889922077921</v>
      </c>
      <c r="Y278" s="60">
        <f t="shared" si="105"/>
        <v>1.022611683229828</v>
      </c>
      <c r="Z278" s="60">
        <f t="shared" si="96"/>
        <v>2.2611683229827984E-2</v>
      </c>
      <c r="AA278" s="14"/>
      <c r="AC278" s="16"/>
      <c r="AD278" s="5"/>
      <c r="AE278" s="5"/>
      <c r="AF278" s="5"/>
      <c r="AG278" s="5"/>
      <c r="AH278" s="5"/>
    </row>
    <row r="279" spans="1:34" s="47" customFormat="1" ht="15" customHeight="1" x14ac:dyDescent="0.2">
      <c r="A279" s="36" t="s">
        <v>612</v>
      </c>
      <c r="B279" s="27" t="s">
        <v>91</v>
      </c>
      <c r="C279" s="21">
        <v>942048</v>
      </c>
      <c r="D279" s="7">
        <v>1650</v>
      </c>
      <c r="E279" s="7">
        <v>10</v>
      </c>
      <c r="F279" s="8">
        <f t="shared" si="106"/>
        <v>95.156363636363636</v>
      </c>
      <c r="G279" s="33">
        <v>471732</v>
      </c>
      <c r="H279" s="7">
        <v>1925</v>
      </c>
      <c r="I279" s="7">
        <v>3</v>
      </c>
      <c r="J279" s="8">
        <f t="shared" si="107"/>
        <v>12.252779220779221</v>
      </c>
      <c r="K279" s="7">
        <v>0</v>
      </c>
      <c r="L279" s="7">
        <v>1</v>
      </c>
      <c r="M279" s="7">
        <v>0</v>
      </c>
      <c r="N279" s="75">
        <f t="shared" si="108"/>
        <v>0</v>
      </c>
      <c r="O279" s="75">
        <f t="shared" si="109"/>
        <v>107.40914285714285</v>
      </c>
      <c r="P279" s="75">
        <f t="shared" si="111"/>
        <v>32.437561142857142</v>
      </c>
      <c r="Q279" s="68">
        <f t="shared" si="110"/>
        <v>109.55732571428571</v>
      </c>
      <c r="R279" s="55">
        <f>0.947*3+2.039*5+0.94+3+1.635*2+1.88*3+9.67*2+15.74</f>
        <v>60.966000000000001</v>
      </c>
      <c r="S279" s="55">
        <v>60.966000000000001</v>
      </c>
      <c r="T279" s="78">
        <f t="shared" si="95"/>
        <v>60.966000000000001</v>
      </c>
      <c r="U279" s="9">
        <f t="shared" si="97"/>
        <v>310.37002971428569</v>
      </c>
      <c r="V279" s="75">
        <f t="shared" si="102"/>
        <v>77.592507428571423</v>
      </c>
      <c r="W279" s="42">
        <v>388</v>
      </c>
      <c r="X279" s="71">
        <v>378.93880285714283</v>
      </c>
      <c r="Y279" s="60">
        <f t="shared" si="105"/>
        <v>1.0239120329576625</v>
      </c>
      <c r="Z279" s="60">
        <f t="shared" si="96"/>
        <v>2.3912032957662532E-2</v>
      </c>
      <c r="AA279" s="14"/>
      <c r="AC279" s="16"/>
      <c r="AD279" s="5"/>
      <c r="AE279" s="5"/>
      <c r="AF279" s="5"/>
      <c r="AG279" s="5"/>
      <c r="AH279" s="5"/>
    </row>
    <row r="280" spans="1:34" s="47" customFormat="1" ht="15" customHeight="1" x14ac:dyDescent="0.2">
      <c r="A280" s="36" t="s">
        <v>613</v>
      </c>
      <c r="B280" s="27" t="s">
        <v>76</v>
      </c>
      <c r="C280" s="21">
        <v>942048</v>
      </c>
      <c r="D280" s="7">
        <v>1650</v>
      </c>
      <c r="E280" s="7">
        <v>10</v>
      </c>
      <c r="F280" s="8">
        <f t="shared" si="106"/>
        <v>95.156363636363636</v>
      </c>
      <c r="G280" s="33">
        <v>471732</v>
      </c>
      <c r="H280" s="7">
        <v>1925</v>
      </c>
      <c r="I280" s="7">
        <v>3</v>
      </c>
      <c r="J280" s="8">
        <f>G280/H280/60*I280</f>
        <v>12.252779220779221</v>
      </c>
      <c r="K280" s="7">
        <v>0</v>
      </c>
      <c r="L280" s="7">
        <v>1</v>
      </c>
      <c r="M280" s="7">
        <v>0</v>
      </c>
      <c r="N280" s="75">
        <f t="shared" si="108"/>
        <v>0</v>
      </c>
      <c r="O280" s="75">
        <f t="shared" si="109"/>
        <v>107.40914285714285</v>
      </c>
      <c r="P280" s="75">
        <f t="shared" si="111"/>
        <v>32.437561142857142</v>
      </c>
      <c r="Q280" s="68">
        <f t="shared" si="110"/>
        <v>109.55732571428571</v>
      </c>
      <c r="R280" s="55">
        <f>0.23+3+1.635*2+18+0.367*2+9.17+15.74*2</f>
        <v>65.884</v>
      </c>
      <c r="S280" s="55">
        <v>65.884</v>
      </c>
      <c r="T280" s="78">
        <f t="shared" si="95"/>
        <v>65.884</v>
      </c>
      <c r="U280" s="9">
        <f t="shared" si="97"/>
        <v>315.2880297142857</v>
      </c>
      <c r="V280" s="75">
        <f>U280*25%</f>
        <v>78.822007428571425</v>
      </c>
      <c r="W280" s="42">
        <v>394</v>
      </c>
      <c r="X280" s="71">
        <v>374.70545506493511</v>
      </c>
      <c r="Y280" s="60">
        <f t="shared" si="105"/>
        <v>1.0514925648246065</v>
      </c>
      <c r="Z280" s="60">
        <f t="shared" si="96"/>
        <v>5.1492564824606513E-2</v>
      </c>
      <c r="AA280" s="14"/>
      <c r="AC280" s="16"/>
      <c r="AD280" s="5"/>
      <c r="AE280" s="5"/>
      <c r="AF280" s="5"/>
      <c r="AG280" s="5"/>
      <c r="AH280" s="5"/>
    </row>
    <row r="281" spans="1:34" s="47" customFormat="1" ht="15" customHeight="1" x14ac:dyDescent="0.2">
      <c r="A281" s="36" t="s">
        <v>614</v>
      </c>
      <c r="B281" s="27" t="s">
        <v>236</v>
      </c>
      <c r="C281" s="21">
        <v>942048</v>
      </c>
      <c r="D281" s="7">
        <v>1650</v>
      </c>
      <c r="E281" s="7">
        <v>9</v>
      </c>
      <c r="F281" s="8">
        <f t="shared" si="106"/>
        <v>85.640727272727275</v>
      </c>
      <c r="G281" s="33">
        <v>471732</v>
      </c>
      <c r="H281" s="7">
        <v>1925</v>
      </c>
      <c r="I281" s="7">
        <v>3</v>
      </c>
      <c r="J281" s="8">
        <f>G281/H281/60*I281</f>
        <v>12.252779220779221</v>
      </c>
      <c r="K281" s="8">
        <v>310748.5</v>
      </c>
      <c r="L281" s="7">
        <v>846720</v>
      </c>
      <c r="M281" s="7">
        <v>17</v>
      </c>
      <c r="N281" s="75">
        <f t="shared" si="108"/>
        <v>6.2390453750944825</v>
      </c>
      <c r="O281" s="75">
        <f t="shared" si="109"/>
        <v>104.13255186860097</v>
      </c>
      <c r="P281" s="75">
        <f t="shared" si="111"/>
        <v>31.448030664317493</v>
      </c>
      <c r="Q281" s="68">
        <f t="shared" si="110"/>
        <v>106.21520290597299</v>
      </c>
      <c r="R281" s="55">
        <f>0.23*2+2.039*5+2.8+5+1.635*2+0.36*3+15.74*2</f>
        <v>54.284999999999997</v>
      </c>
      <c r="S281" s="55">
        <v>54.284999999999997</v>
      </c>
      <c r="T281" s="78">
        <f t="shared" si="95"/>
        <v>54.284999999999997</v>
      </c>
      <c r="U281" s="9">
        <f t="shared" si="97"/>
        <v>302.31983081398596</v>
      </c>
      <c r="V281" s="75">
        <f>U281*25%</f>
        <v>75.57995770349649</v>
      </c>
      <c r="W281" s="42">
        <v>378</v>
      </c>
      <c r="X281" s="71">
        <v>375.73349319280709</v>
      </c>
      <c r="Y281" s="60">
        <f t="shared" si="105"/>
        <v>1.0060322192411786</v>
      </c>
      <c r="Z281" s="60">
        <f t="shared" si="96"/>
        <v>6.0322192411785824E-3</v>
      </c>
      <c r="AA281" s="14"/>
      <c r="AC281" s="16"/>
      <c r="AD281" s="5"/>
      <c r="AE281" s="5"/>
      <c r="AF281" s="5"/>
      <c r="AG281" s="5"/>
      <c r="AH281" s="5"/>
    </row>
    <row r="282" spans="1:34" s="47" customFormat="1" ht="15" customHeight="1" x14ac:dyDescent="0.2">
      <c r="A282" s="36" t="s">
        <v>615</v>
      </c>
      <c r="B282" s="27" t="s">
        <v>237</v>
      </c>
      <c r="C282" s="21">
        <v>942048</v>
      </c>
      <c r="D282" s="7">
        <v>1650</v>
      </c>
      <c r="E282" s="7">
        <v>9</v>
      </c>
      <c r="F282" s="8">
        <f t="shared" si="106"/>
        <v>85.640727272727275</v>
      </c>
      <c r="G282" s="33">
        <v>471732</v>
      </c>
      <c r="H282" s="7">
        <v>1925</v>
      </c>
      <c r="I282" s="7">
        <v>3</v>
      </c>
      <c r="J282" s="8">
        <f>G282/H282/60*I282</f>
        <v>12.252779220779221</v>
      </c>
      <c r="K282" s="8">
        <v>310748.5</v>
      </c>
      <c r="L282" s="7">
        <v>846720</v>
      </c>
      <c r="M282" s="7">
        <v>17</v>
      </c>
      <c r="N282" s="75">
        <f t="shared" si="108"/>
        <v>6.2390453750944825</v>
      </c>
      <c r="O282" s="75">
        <f t="shared" si="109"/>
        <v>104.13255186860097</v>
      </c>
      <c r="P282" s="75">
        <f t="shared" si="111"/>
        <v>31.448030664317493</v>
      </c>
      <c r="Q282" s="68">
        <f t="shared" si="110"/>
        <v>106.21520290597299</v>
      </c>
      <c r="R282" s="55">
        <f>0.23*2+2.039*5+2.8+5+1.635*2+0.36*3+15.74*2</f>
        <v>54.284999999999997</v>
      </c>
      <c r="S282" s="55">
        <v>54.284999999999997</v>
      </c>
      <c r="T282" s="78">
        <f t="shared" si="95"/>
        <v>54.284999999999997</v>
      </c>
      <c r="U282" s="9">
        <f t="shared" si="97"/>
        <v>302.31983081398596</v>
      </c>
      <c r="V282" s="75">
        <f>U282*25%</f>
        <v>75.57995770349649</v>
      </c>
      <c r="W282" s="42">
        <v>378</v>
      </c>
      <c r="X282" s="71">
        <v>375.73349319280709</v>
      </c>
      <c r="Y282" s="60">
        <f t="shared" si="105"/>
        <v>1.0060322192411786</v>
      </c>
      <c r="Z282" s="60">
        <f t="shared" si="96"/>
        <v>6.0322192411785824E-3</v>
      </c>
      <c r="AA282" s="14"/>
      <c r="AC282" s="16"/>
      <c r="AD282" s="5"/>
      <c r="AE282" s="5"/>
      <c r="AF282" s="5"/>
      <c r="AG282" s="5"/>
      <c r="AH282" s="5"/>
    </row>
    <row r="283" spans="1:34" s="47" customFormat="1" ht="15" customHeight="1" x14ac:dyDescent="0.2">
      <c r="A283" s="36" t="s">
        <v>616</v>
      </c>
      <c r="B283" s="27" t="s">
        <v>263</v>
      </c>
      <c r="C283" s="21">
        <v>942048</v>
      </c>
      <c r="D283" s="7">
        <v>1650</v>
      </c>
      <c r="E283" s="7">
        <v>12</v>
      </c>
      <c r="F283" s="8">
        <f t="shared" si="106"/>
        <v>114.18763636363637</v>
      </c>
      <c r="G283" s="33">
        <v>471732</v>
      </c>
      <c r="H283" s="7">
        <v>1925</v>
      </c>
      <c r="I283" s="7">
        <v>5</v>
      </c>
      <c r="J283" s="8">
        <f>G283/H283/60*I283</f>
        <v>20.421298701298699</v>
      </c>
      <c r="K283" s="8">
        <v>310748.5</v>
      </c>
      <c r="L283" s="7">
        <v>846720</v>
      </c>
      <c r="M283" s="7">
        <v>20</v>
      </c>
      <c r="N283" s="75">
        <f t="shared" si="108"/>
        <v>7.340053382464097</v>
      </c>
      <c r="O283" s="75">
        <f t="shared" si="109"/>
        <v>141.94898844739919</v>
      </c>
      <c r="P283" s="75">
        <f t="shared" si="111"/>
        <v>42.868594511114551</v>
      </c>
      <c r="Q283" s="68">
        <f t="shared" si="110"/>
        <v>144.78796821634717</v>
      </c>
      <c r="R283" s="55">
        <f>0.23*2+2.039*5+2.8+5+1.635*2+0.36*3+15.74*2</f>
        <v>54.284999999999997</v>
      </c>
      <c r="S283" s="55">
        <v>54.284999999999997</v>
      </c>
      <c r="T283" s="78">
        <f t="shared" si="95"/>
        <v>54.284999999999997</v>
      </c>
      <c r="U283" s="9">
        <f t="shared" si="97"/>
        <v>391.23060455732502</v>
      </c>
      <c r="V283" s="75">
        <f>U283*25%</f>
        <v>97.807651139331256</v>
      </c>
      <c r="W283" s="42">
        <v>489</v>
      </c>
      <c r="X283" s="71">
        <v>484.61992193042238</v>
      </c>
      <c r="Y283" s="60">
        <f t="shared" si="105"/>
        <v>1.0090381717122361</v>
      </c>
      <c r="Z283" s="60">
        <f t="shared" si="96"/>
        <v>9.0381717122360872E-3</v>
      </c>
      <c r="AA283" s="14"/>
      <c r="AC283" s="16"/>
      <c r="AD283" s="5"/>
      <c r="AE283" s="5"/>
      <c r="AF283" s="5"/>
      <c r="AG283" s="5"/>
      <c r="AH283" s="5"/>
    </row>
    <row r="284" spans="1:34" s="47" customFormat="1" ht="15" customHeight="1" x14ac:dyDescent="0.2">
      <c r="A284" s="36" t="s">
        <v>617</v>
      </c>
      <c r="B284" s="27" t="s">
        <v>267</v>
      </c>
      <c r="C284" s="21">
        <v>942048</v>
      </c>
      <c r="D284" s="7">
        <v>1650</v>
      </c>
      <c r="E284" s="7">
        <v>7</v>
      </c>
      <c r="F284" s="8">
        <f t="shared" si="106"/>
        <v>66.609454545454554</v>
      </c>
      <c r="G284" s="33">
        <v>471732</v>
      </c>
      <c r="H284" s="7">
        <v>1925</v>
      </c>
      <c r="I284" s="7">
        <v>2</v>
      </c>
      <c r="J284" s="8">
        <f t="shared" ref="J284:J291" si="112">G284/H284/60*I284</f>
        <v>8.1685194805194801</v>
      </c>
      <c r="K284" s="8">
        <v>310748.5</v>
      </c>
      <c r="L284" s="7">
        <v>846720</v>
      </c>
      <c r="M284" s="7">
        <v>7</v>
      </c>
      <c r="N284" s="75">
        <f t="shared" si="108"/>
        <v>2.569018683862434</v>
      </c>
      <c r="O284" s="75">
        <f t="shared" si="109"/>
        <v>77.346992709836471</v>
      </c>
      <c r="P284" s="75">
        <f t="shared" si="111"/>
        <v>23.358791798370614</v>
      </c>
      <c r="Q284" s="68">
        <f t="shared" si="110"/>
        <v>78.893932564033207</v>
      </c>
      <c r="R284" s="55">
        <f>0.23*2+2.039*5+2.8+5+1.635*2+0.36*3+15.74*2</f>
        <v>54.284999999999997</v>
      </c>
      <c r="S284" s="55">
        <v>54.284999999999997</v>
      </c>
      <c r="T284" s="78">
        <f t="shared" si="95"/>
        <v>54.284999999999997</v>
      </c>
      <c r="U284" s="9">
        <f t="shared" si="97"/>
        <v>236.45373575610273</v>
      </c>
      <c r="V284" s="75">
        <f t="shared" ref="V284:V291" si="113">U284*25%</f>
        <v>59.113433939025683</v>
      </c>
      <c r="W284" s="42">
        <v>296</v>
      </c>
      <c r="X284" s="71">
        <v>287.49042943538814</v>
      </c>
      <c r="Y284" s="60">
        <f t="shared" si="105"/>
        <v>1.0295994916468145</v>
      </c>
      <c r="Z284" s="60">
        <f t="shared" si="96"/>
        <v>2.9599491646814524E-2</v>
      </c>
      <c r="AA284" s="14"/>
      <c r="AC284" s="16"/>
      <c r="AD284" s="5"/>
      <c r="AE284" s="5"/>
      <c r="AF284" s="5"/>
      <c r="AG284" s="5"/>
      <c r="AH284" s="5"/>
    </row>
    <row r="285" spans="1:34" s="47" customFormat="1" ht="15" customHeight="1" x14ac:dyDescent="0.2">
      <c r="A285" s="36" t="s">
        <v>618</v>
      </c>
      <c r="B285" s="27" t="s">
        <v>264</v>
      </c>
      <c r="C285" s="21">
        <v>942048</v>
      </c>
      <c r="D285" s="7">
        <v>1650</v>
      </c>
      <c r="E285" s="7">
        <v>6</v>
      </c>
      <c r="F285" s="8">
        <f t="shared" si="106"/>
        <v>57.093818181818186</v>
      </c>
      <c r="G285" s="33">
        <v>471732</v>
      </c>
      <c r="H285" s="7">
        <v>1925</v>
      </c>
      <c r="I285" s="7">
        <v>2</v>
      </c>
      <c r="J285" s="8">
        <f t="shared" si="112"/>
        <v>8.1685194805194801</v>
      </c>
      <c r="K285" s="7">
        <v>0</v>
      </c>
      <c r="L285" s="7">
        <v>1</v>
      </c>
      <c r="M285" s="7">
        <v>0</v>
      </c>
      <c r="N285" s="75">
        <f t="shared" si="108"/>
        <v>0</v>
      </c>
      <c r="O285" s="75">
        <f t="shared" si="109"/>
        <v>65.262337662337671</v>
      </c>
      <c r="P285" s="75">
        <f t="shared" si="111"/>
        <v>19.709225974025976</v>
      </c>
      <c r="Q285" s="68">
        <f t="shared" si="110"/>
        <v>66.56758441558442</v>
      </c>
      <c r="R285" s="55">
        <f t="shared" ref="R285:R290" si="114">0.23*2+2.039*5+2.8+2.015+18+1*5+11+0.947*3+9.67*2+15.74*2+1.88*3</f>
        <v>108.771</v>
      </c>
      <c r="S285" s="55">
        <v>108.771</v>
      </c>
      <c r="T285" s="78">
        <f t="shared" si="95"/>
        <v>108.771</v>
      </c>
      <c r="U285" s="9">
        <f t="shared" si="97"/>
        <v>260.31014805194809</v>
      </c>
      <c r="V285" s="75">
        <f t="shared" si="113"/>
        <v>65.077537012987023</v>
      </c>
      <c r="W285" s="42">
        <v>325</v>
      </c>
      <c r="X285" s="71">
        <v>323.99971207792214</v>
      </c>
      <c r="Y285" s="60">
        <f t="shared" si="105"/>
        <v>1.0030873111450089</v>
      </c>
      <c r="Z285" s="60">
        <f t="shared" si="96"/>
        <v>3.0873111450089308E-3</v>
      </c>
      <c r="AA285" s="14"/>
      <c r="AC285" s="16"/>
      <c r="AD285" s="5"/>
      <c r="AE285" s="5"/>
      <c r="AF285" s="5"/>
      <c r="AG285" s="5"/>
      <c r="AH285" s="5"/>
    </row>
    <row r="286" spans="1:34" s="47" customFormat="1" ht="15" customHeight="1" x14ac:dyDescent="0.2">
      <c r="A286" s="36" t="s">
        <v>619</v>
      </c>
      <c r="B286" s="27" t="s">
        <v>265</v>
      </c>
      <c r="C286" s="21">
        <v>942048</v>
      </c>
      <c r="D286" s="7">
        <v>1650</v>
      </c>
      <c r="E286" s="7">
        <v>6</v>
      </c>
      <c r="F286" s="8">
        <f t="shared" si="106"/>
        <v>57.093818181818186</v>
      </c>
      <c r="G286" s="33">
        <v>471732</v>
      </c>
      <c r="H286" s="7">
        <v>1925</v>
      </c>
      <c r="I286" s="7">
        <v>2</v>
      </c>
      <c r="J286" s="8">
        <f t="shared" si="112"/>
        <v>8.1685194805194801</v>
      </c>
      <c r="K286" s="7">
        <v>0</v>
      </c>
      <c r="L286" s="7">
        <v>1</v>
      </c>
      <c r="M286" s="7">
        <v>0</v>
      </c>
      <c r="N286" s="75">
        <f t="shared" si="108"/>
        <v>0</v>
      </c>
      <c r="O286" s="75">
        <f t="shared" si="109"/>
        <v>65.262337662337671</v>
      </c>
      <c r="P286" s="75">
        <f t="shared" si="111"/>
        <v>19.709225974025976</v>
      </c>
      <c r="Q286" s="68">
        <f t="shared" si="110"/>
        <v>66.56758441558442</v>
      </c>
      <c r="R286" s="55">
        <f t="shared" si="114"/>
        <v>108.771</v>
      </c>
      <c r="S286" s="55">
        <v>108.771</v>
      </c>
      <c r="T286" s="78">
        <f t="shared" si="95"/>
        <v>108.771</v>
      </c>
      <c r="U286" s="9">
        <f t="shared" si="97"/>
        <v>260.31014805194809</v>
      </c>
      <c r="V286" s="75">
        <f t="shared" si="113"/>
        <v>65.077537012987023</v>
      </c>
      <c r="W286" s="42">
        <v>325</v>
      </c>
      <c r="X286" s="71">
        <v>323.99971207792214</v>
      </c>
      <c r="Y286" s="60">
        <f t="shared" si="105"/>
        <v>1.0030873111450089</v>
      </c>
      <c r="Z286" s="60">
        <f t="shared" si="96"/>
        <v>3.0873111450089308E-3</v>
      </c>
      <c r="AA286" s="14"/>
      <c r="AC286" s="16"/>
      <c r="AD286" s="5"/>
      <c r="AE286" s="5"/>
      <c r="AF286" s="5"/>
      <c r="AG286" s="5"/>
      <c r="AH286" s="5"/>
    </row>
    <row r="287" spans="1:34" s="47" customFormat="1" ht="15" customHeight="1" x14ac:dyDescent="0.2">
      <c r="A287" s="36" t="s">
        <v>620</v>
      </c>
      <c r="B287" s="27" t="s">
        <v>266</v>
      </c>
      <c r="C287" s="21">
        <v>942048</v>
      </c>
      <c r="D287" s="7">
        <v>1650</v>
      </c>
      <c r="E287" s="7">
        <v>6</v>
      </c>
      <c r="F287" s="8">
        <f t="shared" si="106"/>
        <v>57.093818181818186</v>
      </c>
      <c r="G287" s="33">
        <v>471732</v>
      </c>
      <c r="H287" s="7">
        <v>1925</v>
      </c>
      <c r="I287" s="7">
        <v>2</v>
      </c>
      <c r="J287" s="8">
        <f t="shared" si="112"/>
        <v>8.1685194805194801</v>
      </c>
      <c r="K287" s="7">
        <v>0</v>
      </c>
      <c r="L287" s="7">
        <v>1</v>
      </c>
      <c r="M287" s="7">
        <v>0</v>
      </c>
      <c r="N287" s="75">
        <f t="shared" si="108"/>
        <v>0</v>
      </c>
      <c r="O287" s="75">
        <f t="shared" si="109"/>
        <v>65.262337662337671</v>
      </c>
      <c r="P287" s="75">
        <f t="shared" si="111"/>
        <v>19.709225974025976</v>
      </c>
      <c r="Q287" s="68">
        <f t="shared" si="110"/>
        <v>66.56758441558442</v>
      </c>
      <c r="R287" s="55">
        <f t="shared" si="114"/>
        <v>108.771</v>
      </c>
      <c r="S287" s="55">
        <v>108.771</v>
      </c>
      <c r="T287" s="78">
        <f t="shared" si="95"/>
        <v>108.771</v>
      </c>
      <c r="U287" s="9">
        <f t="shared" si="97"/>
        <v>260.31014805194809</v>
      </c>
      <c r="V287" s="75">
        <f t="shared" si="113"/>
        <v>65.077537012987023</v>
      </c>
      <c r="W287" s="42">
        <v>325</v>
      </c>
      <c r="X287" s="71">
        <v>323.99971207792214</v>
      </c>
      <c r="Y287" s="60">
        <f t="shared" si="105"/>
        <v>1.0030873111450089</v>
      </c>
      <c r="Z287" s="60">
        <f t="shared" si="96"/>
        <v>3.0873111450089308E-3</v>
      </c>
      <c r="AA287" s="14"/>
      <c r="AC287" s="16"/>
      <c r="AD287" s="5"/>
      <c r="AE287" s="5"/>
      <c r="AF287" s="5"/>
      <c r="AG287" s="5"/>
      <c r="AH287" s="5"/>
    </row>
    <row r="288" spans="1:34" s="47" customFormat="1" ht="15" customHeight="1" x14ac:dyDescent="0.2">
      <c r="A288" s="36" t="s">
        <v>621</v>
      </c>
      <c r="B288" s="27" t="s">
        <v>318</v>
      </c>
      <c r="C288" s="21">
        <v>942048</v>
      </c>
      <c r="D288" s="7">
        <v>1650</v>
      </c>
      <c r="E288" s="7">
        <v>3</v>
      </c>
      <c r="F288" s="8">
        <f t="shared" si="106"/>
        <v>28.546909090909093</v>
      </c>
      <c r="G288" s="33">
        <v>471732</v>
      </c>
      <c r="H288" s="7">
        <v>1925</v>
      </c>
      <c r="I288" s="7">
        <v>1</v>
      </c>
      <c r="J288" s="8">
        <f t="shared" si="112"/>
        <v>4.08425974025974</v>
      </c>
      <c r="K288" s="7">
        <v>0</v>
      </c>
      <c r="L288" s="7">
        <v>1</v>
      </c>
      <c r="M288" s="7">
        <v>0</v>
      </c>
      <c r="N288" s="75">
        <f t="shared" si="108"/>
        <v>0</v>
      </c>
      <c r="O288" s="75">
        <f t="shared" si="109"/>
        <v>32.631168831168836</v>
      </c>
      <c r="P288" s="75">
        <f t="shared" si="111"/>
        <v>9.8546129870129882</v>
      </c>
      <c r="Q288" s="68">
        <f t="shared" si="110"/>
        <v>33.28379220779221</v>
      </c>
      <c r="R288" s="55">
        <f t="shared" si="114"/>
        <v>108.771</v>
      </c>
      <c r="S288" s="55">
        <v>108.771</v>
      </c>
      <c r="T288" s="78">
        <f t="shared" si="95"/>
        <v>108.771</v>
      </c>
      <c r="U288" s="9">
        <f t="shared" si="97"/>
        <v>184.54057402597402</v>
      </c>
      <c r="V288" s="75">
        <f t="shared" si="113"/>
        <v>46.135143506493506</v>
      </c>
      <c r="W288" s="42">
        <v>231</v>
      </c>
      <c r="X288" s="71">
        <v>209.13569961038959</v>
      </c>
      <c r="Y288" s="60">
        <f t="shared" si="105"/>
        <v>1.1045459977915899</v>
      </c>
      <c r="Z288" s="60">
        <f t="shared" si="96"/>
        <v>0.10454599779158991</v>
      </c>
      <c r="AA288" s="14"/>
      <c r="AC288" s="16"/>
      <c r="AD288" s="5"/>
      <c r="AE288" s="5"/>
      <c r="AF288" s="5"/>
      <c r="AG288" s="5"/>
      <c r="AH288" s="5"/>
    </row>
    <row r="289" spans="1:34" s="47" customFormat="1" ht="15" customHeight="1" x14ac:dyDescent="0.2">
      <c r="A289" s="36" t="s">
        <v>622</v>
      </c>
      <c r="B289" s="27" t="s">
        <v>315</v>
      </c>
      <c r="C289" s="21">
        <v>942048</v>
      </c>
      <c r="D289" s="7">
        <v>1650</v>
      </c>
      <c r="E289" s="7">
        <v>6</v>
      </c>
      <c r="F289" s="8">
        <f t="shared" si="106"/>
        <v>57.093818181818186</v>
      </c>
      <c r="G289" s="33">
        <v>471732</v>
      </c>
      <c r="H289" s="7">
        <v>1925</v>
      </c>
      <c r="I289" s="7">
        <v>2</v>
      </c>
      <c r="J289" s="8">
        <f t="shared" si="112"/>
        <v>8.1685194805194801</v>
      </c>
      <c r="K289" s="7">
        <v>0</v>
      </c>
      <c r="L289" s="7">
        <v>1</v>
      </c>
      <c r="M289" s="7">
        <v>0</v>
      </c>
      <c r="N289" s="75">
        <f t="shared" si="108"/>
        <v>0</v>
      </c>
      <c r="O289" s="75">
        <f>F289+J289+N289</f>
        <v>65.262337662337671</v>
      </c>
      <c r="P289" s="75">
        <f>O289*0.302</f>
        <v>19.709225974025976</v>
      </c>
      <c r="Q289" s="68">
        <f t="shared" si="110"/>
        <v>66.56758441558442</v>
      </c>
      <c r="R289" s="55">
        <f t="shared" si="114"/>
        <v>108.771</v>
      </c>
      <c r="S289" s="55">
        <v>108.771</v>
      </c>
      <c r="T289" s="78">
        <f t="shared" si="95"/>
        <v>108.771</v>
      </c>
      <c r="U289" s="9">
        <f t="shared" si="97"/>
        <v>260.31014805194809</v>
      </c>
      <c r="V289" s="75">
        <f t="shared" si="113"/>
        <v>65.077537012987023</v>
      </c>
      <c r="W289" s="42">
        <v>325</v>
      </c>
      <c r="X289" s="71">
        <v>323.99971207792214</v>
      </c>
      <c r="Y289" s="60">
        <f t="shared" si="105"/>
        <v>1.0030873111450089</v>
      </c>
      <c r="Z289" s="60">
        <f t="shared" si="96"/>
        <v>3.0873111450089308E-3</v>
      </c>
      <c r="AA289" s="14"/>
      <c r="AC289" s="16"/>
      <c r="AD289" s="5"/>
      <c r="AE289" s="5"/>
      <c r="AF289" s="5"/>
      <c r="AG289" s="5"/>
      <c r="AH289" s="5"/>
    </row>
    <row r="290" spans="1:34" s="47" customFormat="1" ht="15" customHeight="1" x14ac:dyDescent="0.2">
      <c r="A290" s="36" t="s">
        <v>623</v>
      </c>
      <c r="B290" s="27" t="s">
        <v>347</v>
      </c>
      <c r="C290" s="21">
        <v>942048</v>
      </c>
      <c r="D290" s="7">
        <v>1650</v>
      </c>
      <c r="E290" s="7">
        <v>6</v>
      </c>
      <c r="F290" s="8">
        <f t="shared" si="106"/>
        <v>57.093818181818186</v>
      </c>
      <c r="G290" s="33">
        <v>471732</v>
      </c>
      <c r="H290" s="7">
        <v>1925</v>
      </c>
      <c r="I290" s="7">
        <v>3</v>
      </c>
      <c r="J290" s="8">
        <f t="shared" si="112"/>
        <v>12.252779220779221</v>
      </c>
      <c r="K290" s="7">
        <v>0</v>
      </c>
      <c r="L290" s="7">
        <v>1</v>
      </c>
      <c r="M290" s="7">
        <v>0</v>
      </c>
      <c r="N290" s="75">
        <f t="shared" si="108"/>
        <v>0</v>
      </c>
      <c r="O290" s="75">
        <f>F290+J290+N290</f>
        <v>69.346597402597411</v>
      </c>
      <c r="P290" s="75">
        <f>O290*0.302</f>
        <v>20.942672415584418</v>
      </c>
      <c r="Q290" s="68">
        <f t="shared" si="110"/>
        <v>70.733529350649363</v>
      </c>
      <c r="R290" s="55">
        <f t="shared" si="114"/>
        <v>108.771</v>
      </c>
      <c r="S290" s="55">
        <v>108.771</v>
      </c>
      <c r="T290" s="78">
        <f t="shared" si="95"/>
        <v>108.771</v>
      </c>
      <c r="U290" s="9">
        <f t="shared" si="97"/>
        <v>269.79379916883119</v>
      </c>
      <c r="V290" s="75">
        <f t="shared" si="113"/>
        <v>67.448449792207796</v>
      </c>
      <c r="W290" s="42">
        <v>337</v>
      </c>
      <c r="X290" s="71">
        <v>323.83104038961045</v>
      </c>
      <c r="Y290" s="60">
        <f t="shared" si="105"/>
        <v>1.0406661436610449</v>
      </c>
      <c r="Z290" s="60">
        <f t="shared" si="96"/>
        <v>4.0666143661044929E-2</v>
      </c>
      <c r="AA290" s="14"/>
      <c r="AC290" s="16"/>
      <c r="AD290" s="5"/>
      <c r="AE290" s="5"/>
      <c r="AF290" s="5"/>
      <c r="AG290" s="5"/>
      <c r="AH290" s="5"/>
    </row>
    <row r="291" spans="1:34" s="47" customFormat="1" ht="15" customHeight="1" x14ac:dyDescent="0.2">
      <c r="A291" s="36" t="s">
        <v>624</v>
      </c>
      <c r="B291" s="27" t="s">
        <v>317</v>
      </c>
      <c r="C291" s="21">
        <v>942048</v>
      </c>
      <c r="D291" s="7">
        <v>1650</v>
      </c>
      <c r="E291" s="7">
        <v>1</v>
      </c>
      <c r="F291" s="8">
        <f t="shared" si="106"/>
        <v>9.5156363636363643</v>
      </c>
      <c r="G291" s="33">
        <v>471732</v>
      </c>
      <c r="H291" s="7">
        <v>1925</v>
      </c>
      <c r="I291" s="7">
        <v>4</v>
      </c>
      <c r="J291" s="8">
        <f t="shared" si="112"/>
        <v>16.33703896103896</v>
      </c>
      <c r="K291" s="7">
        <v>0</v>
      </c>
      <c r="L291" s="7">
        <v>1</v>
      </c>
      <c r="M291" s="7">
        <v>0</v>
      </c>
      <c r="N291" s="75">
        <f t="shared" si="108"/>
        <v>0</v>
      </c>
      <c r="O291" s="75">
        <f>F291+J291+N291</f>
        <v>25.852675324675324</v>
      </c>
      <c r="P291" s="75">
        <f>O291*0.302</f>
        <v>7.8075079480519474</v>
      </c>
      <c r="Q291" s="68">
        <f t="shared" si="110"/>
        <v>26.369728831168832</v>
      </c>
      <c r="R291" s="55">
        <f>0.23+3+2.8+2.015</f>
        <v>8.0449999999999999</v>
      </c>
      <c r="S291" s="55">
        <v>8.0449999999999999</v>
      </c>
      <c r="T291" s="78">
        <f t="shared" si="95"/>
        <v>8.0449999999999999</v>
      </c>
      <c r="U291" s="9">
        <f t="shared" si="97"/>
        <v>68.074912103896111</v>
      </c>
      <c r="V291" s="75">
        <f t="shared" si="113"/>
        <v>17.018728025974028</v>
      </c>
      <c r="W291" s="42">
        <v>85</v>
      </c>
      <c r="X291" s="71">
        <v>83.228199610389609</v>
      </c>
      <c r="Y291" s="60">
        <f t="shared" si="105"/>
        <v>1.0212884622988914</v>
      </c>
      <c r="Z291" s="60">
        <f t="shared" si="96"/>
        <v>2.1288462298891364E-2</v>
      </c>
      <c r="AA291" s="14"/>
      <c r="AC291" s="16"/>
      <c r="AD291" s="5"/>
      <c r="AE291" s="5"/>
      <c r="AF291" s="5"/>
      <c r="AG291" s="5"/>
      <c r="AH291" s="5"/>
    </row>
    <row r="292" spans="1:34" s="47" customFormat="1" ht="15" customHeight="1" x14ac:dyDescent="0.2">
      <c r="A292" s="36" t="s">
        <v>625</v>
      </c>
      <c r="B292" s="27" t="s">
        <v>12</v>
      </c>
      <c r="C292" s="21">
        <v>942048</v>
      </c>
      <c r="D292" s="7">
        <v>1650</v>
      </c>
      <c r="E292" s="7">
        <v>12</v>
      </c>
      <c r="F292" s="8">
        <f t="shared" ref="F292:F297" si="115">C292/D292/60*E292</f>
        <v>114.18763636363637</v>
      </c>
      <c r="G292" s="33">
        <v>471732</v>
      </c>
      <c r="H292" s="7">
        <v>1925</v>
      </c>
      <c r="I292" s="7">
        <v>5</v>
      </c>
      <c r="J292" s="8">
        <f t="shared" ref="J292:J297" si="116">G292/H292/60*I292</f>
        <v>20.421298701298699</v>
      </c>
      <c r="K292" s="7">
        <v>48860</v>
      </c>
      <c r="L292" s="7">
        <v>846720</v>
      </c>
      <c r="M292" s="7">
        <v>30</v>
      </c>
      <c r="N292" s="75">
        <f>K292/L292*M292</f>
        <v>1.7311507936507935</v>
      </c>
      <c r="O292" s="75">
        <f t="shared" ref="O292:O297" si="117">F292+J292+N292</f>
        <v>136.34008585858587</v>
      </c>
      <c r="P292" s="75">
        <f t="shared" ref="P292:P297" si="118">O292*0.302</f>
        <v>41.174705929292934</v>
      </c>
      <c r="Q292" s="68">
        <f t="shared" ref="Q292:Q297" si="119">(O292)*102%</f>
        <v>139.06688757575759</v>
      </c>
      <c r="R292" s="55">
        <f>23+5+5.8*5+1.849*15</f>
        <v>84.734999999999999</v>
      </c>
      <c r="S292" s="55">
        <v>84.734999999999999</v>
      </c>
      <c r="T292" s="78">
        <f t="shared" si="95"/>
        <v>84.734999999999999</v>
      </c>
      <c r="U292" s="9">
        <f t="shared" si="97"/>
        <v>403.04783015728719</v>
      </c>
      <c r="V292" s="75">
        <f t="shared" si="102"/>
        <v>100.7619575393218</v>
      </c>
      <c r="W292" s="42">
        <v>504</v>
      </c>
      <c r="X292" s="71">
        <v>496.12218014365595</v>
      </c>
      <c r="Y292" s="60">
        <f t="shared" si="105"/>
        <v>1.0158787898861183</v>
      </c>
      <c r="Z292" s="60">
        <f t="shared" si="96"/>
        <v>1.587878988611835E-2</v>
      </c>
      <c r="AA292" s="14"/>
      <c r="AC292" s="16"/>
      <c r="AD292" s="5"/>
      <c r="AE292" s="5"/>
      <c r="AF292" s="5"/>
      <c r="AG292" s="5"/>
      <c r="AH292" s="5"/>
    </row>
    <row r="293" spans="1:34" s="47" customFormat="1" ht="15" customHeight="1" x14ac:dyDescent="0.2">
      <c r="A293" s="36" t="s">
        <v>626</v>
      </c>
      <c r="B293" s="27" t="s">
        <v>176</v>
      </c>
      <c r="C293" s="21">
        <v>942048</v>
      </c>
      <c r="D293" s="7">
        <v>1650</v>
      </c>
      <c r="E293" s="7">
        <v>19</v>
      </c>
      <c r="F293" s="8">
        <f t="shared" si="115"/>
        <v>180.79709090909091</v>
      </c>
      <c r="G293" s="33">
        <v>471732</v>
      </c>
      <c r="H293" s="7">
        <v>1925</v>
      </c>
      <c r="I293" s="7">
        <v>5</v>
      </c>
      <c r="J293" s="8">
        <f t="shared" si="116"/>
        <v>20.421298701298699</v>
      </c>
      <c r="K293" s="7">
        <v>35000</v>
      </c>
      <c r="L293" s="7">
        <v>846720</v>
      </c>
      <c r="M293" s="7">
        <v>20</v>
      </c>
      <c r="N293" s="75">
        <f t="shared" ref="N293:N322" si="120">K293/L293*M293</f>
        <v>0.82671957671957674</v>
      </c>
      <c r="O293" s="75">
        <f t="shared" si="117"/>
        <v>202.04510918710918</v>
      </c>
      <c r="P293" s="75">
        <f t="shared" si="118"/>
        <v>61.01762297450697</v>
      </c>
      <c r="Q293" s="68">
        <f t="shared" si="119"/>
        <v>206.08601137085137</v>
      </c>
      <c r="R293" s="55">
        <f>10+0.23*30+17+100+15.74</f>
        <v>149.64000000000001</v>
      </c>
      <c r="S293" s="55">
        <v>149.64000000000001</v>
      </c>
      <c r="T293" s="78">
        <f t="shared" si="95"/>
        <v>149.64000000000001</v>
      </c>
      <c r="U293" s="9">
        <f t="shared" si="97"/>
        <v>619.61546310918709</v>
      </c>
      <c r="V293" s="75">
        <f t="shared" si="102"/>
        <v>154.90386577729677</v>
      </c>
      <c r="W293" s="42">
        <v>775</v>
      </c>
      <c r="X293" s="71">
        <v>743.8726481072631</v>
      </c>
      <c r="Y293" s="60">
        <f t="shared" si="105"/>
        <v>1.0418450012538281</v>
      </c>
      <c r="Z293" s="60">
        <f t="shared" si="96"/>
        <v>4.1845001253828062E-2</v>
      </c>
      <c r="AA293" s="14"/>
      <c r="AC293" s="16"/>
      <c r="AD293" s="5"/>
      <c r="AE293" s="5"/>
      <c r="AF293" s="5"/>
      <c r="AG293" s="5"/>
      <c r="AH293" s="5"/>
    </row>
    <row r="294" spans="1:34" s="47" customFormat="1" ht="15" customHeight="1" x14ac:dyDescent="0.2">
      <c r="A294" s="36" t="s">
        <v>627</v>
      </c>
      <c r="B294" s="27" t="s">
        <v>177</v>
      </c>
      <c r="C294" s="21">
        <v>942048</v>
      </c>
      <c r="D294" s="7">
        <v>1650</v>
      </c>
      <c r="E294" s="7">
        <v>10</v>
      </c>
      <c r="F294" s="8">
        <f t="shared" si="115"/>
        <v>95.156363636363636</v>
      </c>
      <c r="G294" s="33">
        <v>471732</v>
      </c>
      <c r="H294" s="7">
        <v>1925</v>
      </c>
      <c r="I294" s="7">
        <v>0</v>
      </c>
      <c r="J294" s="8">
        <f t="shared" si="116"/>
        <v>0</v>
      </c>
      <c r="K294" s="7">
        <v>35000</v>
      </c>
      <c r="L294" s="7">
        <v>846720</v>
      </c>
      <c r="M294" s="7">
        <v>10</v>
      </c>
      <c r="N294" s="75">
        <f t="shared" si="120"/>
        <v>0.41335978835978837</v>
      </c>
      <c r="O294" s="75">
        <f t="shared" si="117"/>
        <v>95.569723424723421</v>
      </c>
      <c r="P294" s="75">
        <f t="shared" si="118"/>
        <v>28.86205647426647</v>
      </c>
      <c r="Q294" s="68">
        <f t="shared" si="119"/>
        <v>97.481117893217885</v>
      </c>
      <c r="R294" s="55">
        <f>10+0.23*30+17+100+15.74</f>
        <v>149.64000000000001</v>
      </c>
      <c r="S294" s="55">
        <v>149.64000000000001</v>
      </c>
      <c r="T294" s="78">
        <f t="shared" si="95"/>
        <v>149.64000000000001</v>
      </c>
      <c r="U294" s="9">
        <f t="shared" si="97"/>
        <v>371.96625758056757</v>
      </c>
      <c r="V294" s="75">
        <f>U294*25%</f>
        <v>92.991564395141893</v>
      </c>
      <c r="W294" s="42">
        <v>465</v>
      </c>
      <c r="X294" s="71">
        <v>450.14305989778734</v>
      </c>
      <c r="Y294" s="60">
        <f t="shared" si="105"/>
        <v>1.033004929822946</v>
      </c>
      <c r="Z294" s="60">
        <f t="shared" si="96"/>
        <v>3.3004929822946005E-2</v>
      </c>
      <c r="AA294" s="14"/>
      <c r="AC294" s="16"/>
      <c r="AD294" s="5"/>
      <c r="AE294" s="5"/>
      <c r="AF294" s="5"/>
      <c r="AG294" s="5"/>
      <c r="AH294" s="5"/>
    </row>
    <row r="295" spans="1:34" s="47" customFormat="1" ht="15" customHeight="1" x14ac:dyDescent="0.2">
      <c r="A295" s="36" t="s">
        <v>628</v>
      </c>
      <c r="B295" s="27" t="s">
        <v>175</v>
      </c>
      <c r="C295" s="21">
        <v>942048</v>
      </c>
      <c r="D295" s="7">
        <v>1650</v>
      </c>
      <c r="E295" s="7">
        <v>1</v>
      </c>
      <c r="F295" s="8">
        <f t="shared" si="115"/>
        <v>9.5156363636363643</v>
      </c>
      <c r="G295" s="33">
        <v>471732</v>
      </c>
      <c r="H295" s="7">
        <v>1925</v>
      </c>
      <c r="I295" s="7">
        <v>0</v>
      </c>
      <c r="J295" s="8">
        <f t="shared" si="116"/>
        <v>0</v>
      </c>
      <c r="K295" s="7">
        <v>35000</v>
      </c>
      <c r="L295" s="7">
        <v>846720</v>
      </c>
      <c r="M295" s="7">
        <v>1</v>
      </c>
      <c r="N295" s="75">
        <f t="shared" si="120"/>
        <v>4.1335978835978837E-2</v>
      </c>
      <c r="O295" s="75">
        <f t="shared" si="117"/>
        <v>9.5569723424723438</v>
      </c>
      <c r="P295" s="75">
        <f t="shared" si="118"/>
        <v>2.8862056474266478</v>
      </c>
      <c r="Q295" s="68">
        <f t="shared" si="119"/>
        <v>9.7481117893217917</v>
      </c>
      <c r="R295" s="55">
        <f>21+2+0.57*3+1</f>
        <v>25.71</v>
      </c>
      <c r="S295" s="55">
        <v>25.71</v>
      </c>
      <c r="T295" s="78">
        <f t="shared" si="95"/>
        <v>25.71</v>
      </c>
      <c r="U295" s="9">
        <f t="shared" si="97"/>
        <v>47.942625758056764</v>
      </c>
      <c r="V295" s="75">
        <f t="shared" si="102"/>
        <v>11.985656439514191</v>
      </c>
      <c r="W295" s="42">
        <v>60</v>
      </c>
      <c r="X295" s="71">
        <v>53.239514924843675</v>
      </c>
      <c r="Y295" s="60">
        <f t="shared" si="105"/>
        <v>1.1269824694064148</v>
      </c>
      <c r="Z295" s="60">
        <f t="shared" si="96"/>
        <v>0.12698246940641478</v>
      </c>
      <c r="AA295" s="14"/>
      <c r="AC295" s="16"/>
      <c r="AD295" s="5"/>
      <c r="AE295" s="5"/>
      <c r="AF295" s="5"/>
      <c r="AG295" s="5"/>
      <c r="AH295" s="5"/>
    </row>
    <row r="296" spans="1:34" s="47" customFormat="1" ht="15" customHeight="1" x14ac:dyDescent="0.2">
      <c r="A296" s="36" t="s">
        <v>629</v>
      </c>
      <c r="B296" s="27" t="s">
        <v>178</v>
      </c>
      <c r="C296" s="21">
        <v>942048</v>
      </c>
      <c r="D296" s="7">
        <v>1650</v>
      </c>
      <c r="E296" s="7">
        <v>7</v>
      </c>
      <c r="F296" s="8">
        <f t="shared" si="115"/>
        <v>66.609454545454554</v>
      </c>
      <c r="G296" s="33">
        <v>471732</v>
      </c>
      <c r="H296" s="7">
        <v>1925</v>
      </c>
      <c r="I296" s="7">
        <v>2</v>
      </c>
      <c r="J296" s="8">
        <f t="shared" si="116"/>
        <v>8.1685194805194801</v>
      </c>
      <c r="K296" s="7">
        <v>284000</v>
      </c>
      <c r="L296" s="7">
        <v>846720</v>
      </c>
      <c r="M296" s="7">
        <v>7</v>
      </c>
      <c r="N296" s="75">
        <f t="shared" si="120"/>
        <v>2.3478835978835981</v>
      </c>
      <c r="O296" s="75">
        <f t="shared" si="117"/>
        <v>77.125857623857627</v>
      </c>
      <c r="P296" s="75">
        <f t="shared" si="118"/>
        <v>23.292009002405003</v>
      </c>
      <c r="Q296" s="68">
        <f t="shared" si="119"/>
        <v>78.668374776334787</v>
      </c>
      <c r="R296" s="55">
        <f>10+0.23*10+0.23*306.34</f>
        <v>82.758199999999988</v>
      </c>
      <c r="S296" s="55">
        <v>82.758199999999988</v>
      </c>
      <c r="T296" s="78">
        <f t="shared" si="95"/>
        <v>82.758199999999988</v>
      </c>
      <c r="U296" s="9">
        <f t="shared" si="97"/>
        <v>264.19232500048099</v>
      </c>
      <c r="V296" s="75">
        <f t="shared" si="102"/>
        <v>66.048081250120248</v>
      </c>
      <c r="W296" s="42">
        <v>330</v>
      </c>
      <c r="X296" s="71">
        <v>321.99499430254923</v>
      </c>
      <c r="Y296" s="60">
        <f t="shared" si="105"/>
        <v>1.0248606526160131</v>
      </c>
      <c r="Z296" s="60">
        <f t="shared" si="96"/>
        <v>2.4860652616013112E-2</v>
      </c>
      <c r="AA296" s="14"/>
      <c r="AC296" s="16"/>
      <c r="AD296" s="5"/>
      <c r="AE296" s="5"/>
      <c r="AF296" s="5"/>
      <c r="AG296" s="5"/>
      <c r="AH296" s="5"/>
    </row>
    <row r="297" spans="1:34" s="47" customFormat="1" ht="15" customHeight="1" x14ac:dyDescent="0.2">
      <c r="A297" s="36" t="s">
        <v>630</v>
      </c>
      <c r="B297" s="27" t="s">
        <v>179</v>
      </c>
      <c r="C297" s="21">
        <v>942048</v>
      </c>
      <c r="D297" s="7">
        <v>1650</v>
      </c>
      <c r="E297" s="7">
        <v>19</v>
      </c>
      <c r="F297" s="8">
        <f t="shared" si="115"/>
        <v>180.79709090909091</v>
      </c>
      <c r="G297" s="33">
        <v>471732</v>
      </c>
      <c r="H297" s="7">
        <v>1925</v>
      </c>
      <c r="I297" s="7">
        <v>1</v>
      </c>
      <c r="J297" s="8">
        <f t="shared" si="116"/>
        <v>4.08425974025974</v>
      </c>
      <c r="K297" s="7">
        <v>284000</v>
      </c>
      <c r="L297" s="7">
        <v>846720</v>
      </c>
      <c r="M297" s="7">
        <v>13</v>
      </c>
      <c r="N297" s="75">
        <f t="shared" si="120"/>
        <v>4.3603552532123961</v>
      </c>
      <c r="O297" s="75">
        <f t="shared" si="117"/>
        <v>189.24170590256304</v>
      </c>
      <c r="P297" s="75">
        <f t="shared" si="118"/>
        <v>57.150995182574036</v>
      </c>
      <c r="Q297" s="68">
        <f t="shared" si="119"/>
        <v>193.02654002061431</v>
      </c>
      <c r="R297" s="55">
        <f>10+0.23*10+0.23*306.34</f>
        <v>82.758199999999988</v>
      </c>
      <c r="S297" s="55">
        <v>82.758199999999988</v>
      </c>
      <c r="T297" s="78">
        <f t="shared" si="95"/>
        <v>82.758199999999988</v>
      </c>
      <c r="U297" s="9">
        <f t="shared" si="97"/>
        <v>526.53779635896376</v>
      </c>
      <c r="V297" s="75">
        <f>U297*25%</f>
        <v>131.63444908974094</v>
      </c>
      <c r="W297" s="42">
        <v>658</v>
      </c>
      <c r="X297" s="71">
        <v>643.96994856558774</v>
      </c>
      <c r="Y297" s="60">
        <f t="shared" si="105"/>
        <v>1.0217868108064103</v>
      </c>
      <c r="Z297" s="60">
        <f t="shared" si="96"/>
        <v>2.1786810806410317E-2</v>
      </c>
      <c r="AA297" s="14"/>
      <c r="AC297" s="16"/>
      <c r="AD297" s="5"/>
      <c r="AE297" s="5"/>
      <c r="AF297" s="5"/>
      <c r="AG297" s="5"/>
      <c r="AH297" s="5"/>
    </row>
    <row r="298" spans="1:34" s="47" customFormat="1" ht="15" customHeight="1" x14ac:dyDescent="0.2">
      <c r="A298" s="36" t="s">
        <v>631</v>
      </c>
      <c r="B298" s="27" t="s">
        <v>169</v>
      </c>
      <c r="C298" s="21">
        <v>942048</v>
      </c>
      <c r="D298" s="7">
        <v>1650</v>
      </c>
      <c r="E298" s="7">
        <v>7</v>
      </c>
      <c r="F298" s="8">
        <f t="shared" ref="F298:F309" si="121">C298/D298/60*E298</f>
        <v>66.609454545454554</v>
      </c>
      <c r="G298" s="33">
        <v>471732</v>
      </c>
      <c r="H298" s="7">
        <v>1925</v>
      </c>
      <c r="I298" s="7">
        <v>4</v>
      </c>
      <c r="J298" s="8">
        <f>G298/H298/60*I298</f>
        <v>16.33703896103896</v>
      </c>
      <c r="K298" s="7">
        <v>1600</v>
      </c>
      <c r="L298" s="7">
        <v>846720</v>
      </c>
      <c r="M298" s="7">
        <v>10</v>
      </c>
      <c r="N298" s="75">
        <f t="shared" si="120"/>
        <v>1.889644746787604E-2</v>
      </c>
      <c r="O298" s="75">
        <f t="shared" ref="O298:O307" si="122">F298+J298+N298</f>
        <v>82.965389953961392</v>
      </c>
      <c r="P298" s="75">
        <f t="shared" ref="P298:P307" si="123">O298*0.302</f>
        <v>25.055547766096339</v>
      </c>
      <c r="Q298" s="68">
        <f t="shared" ref="Q298:Q307" si="124">(O298)*102%</f>
        <v>84.624697753040621</v>
      </c>
      <c r="R298" s="55">
        <f>0.508*100+15.74</f>
        <v>66.539999999999992</v>
      </c>
      <c r="S298" s="55">
        <v>66.539999999999992</v>
      </c>
      <c r="T298" s="78">
        <f t="shared" si="95"/>
        <v>66.539999999999992</v>
      </c>
      <c r="U298" s="9">
        <f t="shared" si="97"/>
        <v>259.20453192056618</v>
      </c>
      <c r="V298" s="75">
        <f t="shared" si="102"/>
        <v>64.801132980141546</v>
      </c>
      <c r="W298" s="42">
        <v>324</v>
      </c>
      <c r="X298" s="71">
        <v>323.53101191369478</v>
      </c>
      <c r="Y298" s="60">
        <f t="shared" si="105"/>
        <v>1.001449592369928</v>
      </c>
      <c r="Z298" s="60">
        <f t="shared" si="96"/>
        <v>1.4495923699280322E-3</v>
      </c>
      <c r="AA298" s="14"/>
      <c r="AC298" s="16"/>
      <c r="AD298" s="5"/>
      <c r="AE298" s="5"/>
      <c r="AF298" s="5"/>
      <c r="AG298" s="5"/>
      <c r="AH298" s="5"/>
    </row>
    <row r="299" spans="1:34" s="47" customFormat="1" ht="15" customHeight="1" x14ac:dyDescent="0.2">
      <c r="A299" s="36" t="s">
        <v>632</v>
      </c>
      <c r="B299" s="27" t="s">
        <v>14</v>
      </c>
      <c r="C299" s="21">
        <v>942048</v>
      </c>
      <c r="D299" s="7">
        <v>1650</v>
      </c>
      <c r="E299" s="7">
        <v>6</v>
      </c>
      <c r="F299" s="8">
        <f t="shared" si="121"/>
        <v>57.093818181818186</v>
      </c>
      <c r="G299" s="33">
        <v>471732</v>
      </c>
      <c r="H299" s="7">
        <v>1925</v>
      </c>
      <c r="I299" s="7">
        <v>3</v>
      </c>
      <c r="J299" s="8">
        <f>G299/H299/60*I299</f>
        <v>12.252779220779221</v>
      </c>
      <c r="K299" s="7">
        <v>8039</v>
      </c>
      <c r="L299" s="7">
        <v>846720</v>
      </c>
      <c r="M299" s="7">
        <v>10</v>
      </c>
      <c r="N299" s="75">
        <f t="shared" si="120"/>
        <v>9.4942838246409672E-2</v>
      </c>
      <c r="O299" s="75">
        <f t="shared" si="122"/>
        <v>69.441540240843821</v>
      </c>
      <c r="P299" s="75">
        <f t="shared" si="123"/>
        <v>20.971345152734834</v>
      </c>
      <c r="Q299" s="68">
        <f t="shared" si="124"/>
        <v>70.830371045660698</v>
      </c>
      <c r="R299" s="55">
        <f>3.16+11</f>
        <v>14.16</v>
      </c>
      <c r="S299" s="55">
        <v>14.16</v>
      </c>
      <c r="T299" s="78">
        <f t="shared" ref="T299:T321" si="125">S299*1</f>
        <v>14.16</v>
      </c>
      <c r="U299" s="9">
        <f t="shared" si="97"/>
        <v>175.49819927748578</v>
      </c>
      <c r="V299" s="75">
        <f t="shared" si="102"/>
        <v>43.874549819371445</v>
      </c>
      <c r="W299" s="42">
        <v>219</v>
      </c>
      <c r="X299" s="71">
        <v>206.13021221374029</v>
      </c>
      <c r="Y299" s="60">
        <f t="shared" si="105"/>
        <v>1.0624352327979694</v>
      </c>
      <c r="Z299" s="60">
        <f t="shared" si="96"/>
        <v>6.2435232797969364E-2</v>
      </c>
      <c r="AA299" s="14"/>
      <c r="AC299" s="16"/>
      <c r="AD299" s="5"/>
      <c r="AE299" s="5"/>
      <c r="AF299" s="5"/>
      <c r="AG299" s="5"/>
      <c r="AH299" s="5"/>
    </row>
    <row r="300" spans="1:34" s="47" customFormat="1" ht="15" customHeight="1" x14ac:dyDescent="0.2">
      <c r="A300" s="36" t="s">
        <v>633</v>
      </c>
      <c r="B300" s="27" t="s">
        <v>170</v>
      </c>
      <c r="C300" s="21">
        <v>942048</v>
      </c>
      <c r="D300" s="7">
        <v>1650</v>
      </c>
      <c r="E300" s="7">
        <v>5</v>
      </c>
      <c r="F300" s="8">
        <f t="shared" si="121"/>
        <v>47.578181818181818</v>
      </c>
      <c r="G300" s="33">
        <v>471732</v>
      </c>
      <c r="H300" s="7">
        <v>1925</v>
      </c>
      <c r="I300" s="7">
        <v>2</v>
      </c>
      <c r="J300" s="8">
        <f>G300/H300/60*I300</f>
        <v>8.1685194805194801</v>
      </c>
      <c r="K300" s="7">
        <v>0</v>
      </c>
      <c r="L300" s="7">
        <v>1</v>
      </c>
      <c r="M300" s="7">
        <v>0</v>
      </c>
      <c r="N300" s="75">
        <f t="shared" si="120"/>
        <v>0</v>
      </c>
      <c r="O300" s="75">
        <f t="shared" si="122"/>
        <v>55.746701298701296</v>
      </c>
      <c r="P300" s="75">
        <f t="shared" si="123"/>
        <v>16.835503792207792</v>
      </c>
      <c r="Q300" s="68">
        <f t="shared" si="124"/>
        <v>56.861635324675326</v>
      </c>
      <c r="R300" s="55">
        <f>3.6+5.9+0.508*100+1.548*2+1.635*2+12+2+15.74</f>
        <v>96.405999999999992</v>
      </c>
      <c r="S300" s="55">
        <v>96.405999999999992</v>
      </c>
      <c r="T300" s="78">
        <f t="shared" si="125"/>
        <v>96.405999999999992</v>
      </c>
      <c r="U300" s="9">
        <f t="shared" si="97"/>
        <v>225.84984041558442</v>
      </c>
      <c r="V300" s="75">
        <f t="shared" si="102"/>
        <v>56.462460103896106</v>
      </c>
      <c r="W300" s="42">
        <v>282</v>
      </c>
      <c r="X300" s="71">
        <v>277.23224701298699</v>
      </c>
      <c r="Y300" s="60">
        <f t="shared" si="105"/>
        <v>1.0171976854726776</v>
      </c>
      <c r="Z300" s="60">
        <f t="shared" si="96"/>
        <v>1.7197685472677637E-2</v>
      </c>
      <c r="AA300" s="14"/>
      <c r="AC300" s="16"/>
      <c r="AD300" s="5"/>
      <c r="AE300" s="5"/>
      <c r="AF300" s="5"/>
      <c r="AG300" s="5"/>
      <c r="AH300" s="5"/>
    </row>
    <row r="301" spans="1:34" s="47" customFormat="1" ht="15" customHeight="1" x14ac:dyDescent="0.2">
      <c r="A301" s="36" t="s">
        <v>634</v>
      </c>
      <c r="B301" s="27" t="s">
        <v>171</v>
      </c>
      <c r="C301" s="21">
        <v>942048</v>
      </c>
      <c r="D301" s="7">
        <v>1650</v>
      </c>
      <c r="E301" s="7">
        <v>8</v>
      </c>
      <c r="F301" s="8">
        <f t="shared" si="121"/>
        <v>76.125090909090915</v>
      </c>
      <c r="G301" s="33">
        <v>471732</v>
      </c>
      <c r="H301" s="7">
        <v>1925</v>
      </c>
      <c r="I301" s="7">
        <v>2</v>
      </c>
      <c r="J301" s="8">
        <f>G301/H301/60*I301</f>
        <v>8.1685194805194801</v>
      </c>
      <c r="K301" s="7">
        <v>0</v>
      </c>
      <c r="L301" s="7">
        <v>1</v>
      </c>
      <c r="M301" s="7">
        <v>0</v>
      </c>
      <c r="N301" s="75">
        <f t="shared" si="120"/>
        <v>0</v>
      </c>
      <c r="O301" s="75">
        <f t="shared" si="122"/>
        <v>84.293610389610393</v>
      </c>
      <c r="P301" s="75">
        <f t="shared" si="123"/>
        <v>25.456670337662338</v>
      </c>
      <c r="Q301" s="68">
        <f t="shared" si="124"/>
        <v>85.979482597402608</v>
      </c>
      <c r="R301" s="55">
        <f>1+12+15.74</f>
        <v>28.740000000000002</v>
      </c>
      <c r="S301" s="55">
        <v>28.740000000000002</v>
      </c>
      <c r="T301" s="78">
        <f t="shared" si="125"/>
        <v>28.740000000000002</v>
      </c>
      <c r="U301" s="9">
        <f t="shared" si="97"/>
        <v>224.46976332467534</v>
      </c>
      <c r="V301" s="75">
        <f t="shared" si="102"/>
        <v>56.117440831168835</v>
      </c>
      <c r="W301" s="42">
        <v>281</v>
      </c>
      <c r="X301" s="71">
        <v>276.37121610389613</v>
      </c>
      <c r="Y301" s="60">
        <f t="shared" si="105"/>
        <v>1.0167484297437248</v>
      </c>
      <c r="Z301" s="60">
        <f t="shared" si="96"/>
        <v>1.6748429743724813E-2</v>
      </c>
      <c r="AA301" s="14"/>
      <c r="AC301" s="16"/>
      <c r="AD301" s="5"/>
      <c r="AE301" s="5"/>
      <c r="AF301" s="5"/>
      <c r="AG301" s="5"/>
      <c r="AH301" s="5"/>
    </row>
    <row r="302" spans="1:34" s="47" customFormat="1" ht="15" customHeight="1" x14ac:dyDescent="0.2">
      <c r="A302" s="36" t="s">
        <v>635</v>
      </c>
      <c r="B302" s="27" t="s">
        <v>15</v>
      </c>
      <c r="C302" s="21">
        <v>942048</v>
      </c>
      <c r="D302" s="7">
        <v>1650</v>
      </c>
      <c r="E302" s="7">
        <v>8</v>
      </c>
      <c r="F302" s="8">
        <f t="shared" si="121"/>
        <v>76.125090909090915</v>
      </c>
      <c r="G302" s="33">
        <v>471732</v>
      </c>
      <c r="H302" s="7">
        <v>1925</v>
      </c>
      <c r="I302" s="7">
        <v>7</v>
      </c>
      <c r="J302" s="8">
        <f t="shared" ref="J302:J309" si="126">G302/H302/60*I302</f>
        <v>28.589818181818181</v>
      </c>
      <c r="K302" s="7">
        <v>0</v>
      </c>
      <c r="L302" s="7">
        <v>1</v>
      </c>
      <c r="M302" s="7">
        <v>0</v>
      </c>
      <c r="N302" s="75">
        <f t="shared" si="120"/>
        <v>0</v>
      </c>
      <c r="O302" s="75">
        <f t="shared" si="122"/>
        <v>104.71490909090909</v>
      </c>
      <c r="P302" s="75">
        <f t="shared" si="123"/>
        <v>31.623902545454545</v>
      </c>
      <c r="Q302" s="68">
        <f t="shared" si="124"/>
        <v>106.80920727272728</v>
      </c>
      <c r="R302" s="55">
        <f>2.3+15.74+2.3+0.508*100</f>
        <v>71.14</v>
      </c>
      <c r="S302" s="55">
        <v>71.14</v>
      </c>
      <c r="T302" s="78">
        <f t="shared" si="125"/>
        <v>71.14</v>
      </c>
      <c r="U302" s="9">
        <f t="shared" si="97"/>
        <v>314.28801890909091</v>
      </c>
      <c r="V302" s="75">
        <f t="shared" si="102"/>
        <v>78.572004727272727</v>
      </c>
      <c r="W302" s="42">
        <v>393</v>
      </c>
      <c r="X302" s="71">
        <v>381.27545506493504</v>
      </c>
      <c r="Y302" s="60">
        <f t="shared" si="105"/>
        <v>1.030750851593812</v>
      </c>
      <c r="Z302" s="60">
        <f t="shared" si="96"/>
        <v>3.0750851593811968E-2</v>
      </c>
      <c r="AA302" s="14"/>
      <c r="AC302" s="16"/>
      <c r="AD302" s="5"/>
      <c r="AE302" s="5"/>
      <c r="AF302" s="5"/>
      <c r="AG302" s="5"/>
      <c r="AH302" s="5"/>
    </row>
    <row r="303" spans="1:34" s="47" customFormat="1" ht="15" customHeight="1" x14ac:dyDescent="0.2">
      <c r="A303" s="36" t="s">
        <v>636</v>
      </c>
      <c r="B303" s="27" t="s">
        <v>172</v>
      </c>
      <c r="C303" s="21">
        <v>942048</v>
      </c>
      <c r="D303" s="7">
        <v>1650</v>
      </c>
      <c r="E303" s="7">
        <v>17</v>
      </c>
      <c r="F303" s="8">
        <f t="shared" si="121"/>
        <v>161.76581818181819</v>
      </c>
      <c r="G303" s="33">
        <v>471732</v>
      </c>
      <c r="H303" s="7">
        <v>1925</v>
      </c>
      <c r="I303" s="7">
        <v>15</v>
      </c>
      <c r="J303" s="8">
        <f t="shared" si="126"/>
        <v>61.263896103896101</v>
      </c>
      <c r="K303" s="7">
        <v>50470</v>
      </c>
      <c r="L303" s="7">
        <v>846720</v>
      </c>
      <c r="M303" s="7">
        <v>20</v>
      </c>
      <c r="N303" s="75">
        <f t="shared" si="120"/>
        <v>1.1921296296296298</v>
      </c>
      <c r="O303" s="75">
        <f t="shared" si="122"/>
        <v>224.22184391534392</v>
      </c>
      <c r="P303" s="75">
        <f t="shared" si="123"/>
        <v>67.714996862433864</v>
      </c>
      <c r="Q303" s="68">
        <f t="shared" si="124"/>
        <v>228.70628079365082</v>
      </c>
      <c r="R303" s="55">
        <f>3.16*2+1.635*2</f>
        <v>9.59</v>
      </c>
      <c r="S303" s="55">
        <v>9.59</v>
      </c>
      <c r="T303" s="78">
        <f t="shared" si="125"/>
        <v>9.59</v>
      </c>
      <c r="U303" s="9">
        <f t="shared" si="97"/>
        <v>531.42525120105824</v>
      </c>
      <c r="V303" s="75">
        <f t="shared" si="102"/>
        <v>132.85631280026456</v>
      </c>
      <c r="W303" s="42">
        <v>664</v>
      </c>
      <c r="X303" s="71">
        <v>664.26115854677732</v>
      </c>
      <c r="Y303" s="60">
        <f t="shared" si="105"/>
        <v>0.99960684356835094</v>
      </c>
      <c r="Z303" s="60">
        <f t="shared" si="96"/>
        <v>-3.9315643164905545E-4</v>
      </c>
      <c r="AA303" s="14"/>
      <c r="AC303" s="16"/>
      <c r="AD303" s="5"/>
      <c r="AE303" s="5"/>
      <c r="AF303" s="5"/>
      <c r="AG303" s="5"/>
      <c r="AH303" s="5"/>
    </row>
    <row r="304" spans="1:34" s="47" customFormat="1" ht="15" customHeight="1" x14ac:dyDescent="0.2">
      <c r="A304" s="36" t="s">
        <v>637</v>
      </c>
      <c r="B304" s="27" t="s">
        <v>719</v>
      </c>
      <c r="C304" s="21">
        <v>942048</v>
      </c>
      <c r="D304" s="7">
        <v>1650</v>
      </c>
      <c r="E304" s="7">
        <v>4</v>
      </c>
      <c r="F304" s="8">
        <f t="shared" si="121"/>
        <v>38.062545454545457</v>
      </c>
      <c r="G304" s="33">
        <v>471732</v>
      </c>
      <c r="H304" s="7">
        <v>1925</v>
      </c>
      <c r="I304" s="7">
        <v>5</v>
      </c>
      <c r="J304" s="8">
        <f t="shared" si="126"/>
        <v>20.421298701298699</v>
      </c>
      <c r="K304" s="7">
        <v>0</v>
      </c>
      <c r="L304" s="7">
        <v>1</v>
      </c>
      <c r="M304" s="7">
        <v>0</v>
      </c>
      <c r="N304" s="75">
        <f t="shared" si="120"/>
        <v>0</v>
      </c>
      <c r="O304" s="75">
        <f t="shared" si="122"/>
        <v>58.483844155844153</v>
      </c>
      <c r="P304" s="75">
        <f t="shared" si="123"/>
        <v>17.662120935064934</v>
      </c>
      <c r="Q304" s="68">
        <f t="shared" si="124"/>
        <v>59.653521038961038</v>
      </c>
      <c r="R304" s="55">
        <f>15.12+1.849+3.16*2</f>
        <v>23.288999999999998</v>
      </c>
      <c r="S304" s="55">
        <v>23.288999999999998</v>
      </c>
      <c r="T304" s="78">
        <f t="shared" si="125"/>
        <v>23.288999999999998</v>
      </c>
      <c r="U304" s="9">
        <f t="shared" si="97"/>
        <v>159.08848612987012</v>
      </c>
      <c r="V304" s="75">
        <f t="shared" si="102"/>
        <v>39.77212153246753</v>
      </c>
      <c r="W304" s="42">
        <v>199</v>
      </c>
      <c r="X304" s="71">
        <v>196.04817311688308</v>
      </c>
      <c r="Y304" s="60">
        <f t="shared" si="105"/>
        <v>1.0150566406010684</v>
      </c>
      <c r="Z304" s="60">
        <f t="shared" si="96"/>
        <v>1.5056640601068372E-2</v>
      </c>
      <c r="AA304" s="14"/>
      <c r="AC304" s="16"/>
      <c r="AD304" s="5"/>
      <c r="AE304" s="5"/>
      <c r="AF304" s="5"/>
      <c r="AG304" s="5"/>
      <c r="AH304" s="5"/>
    </row>
    <row r="305" spans="1:34" s="47" customFormat="1" ht="15" customHeight="1" x14ac:dyDescent="0.2">
      <c r="A305" s="36" t="s">
        <v>638</v>
      </c>
      <c r="B305" s="27" t="s">
        <v>39</v>
      </c>
      <c r="C305" s="21">
        <v>942048</v>
      </c>
      <c r="D305" s="7">
        <v>1650</v>
      </c>
      <c r="E305" s="7">
        <v>12</v>
      </c>
      <c r="F305" s="8">
        <f t="shared" si="121"/>
        <v>114.18763636363637</v>
      </c>
      <c r="G305" s="33">
        <v>471732</v>
      </c>
      <c r="H305" s="7">
        <v>1925</v>
      </c>
      <c r="I305" s="7">
        <v>4</v>
      </c>
      <c r="J305" s="8">
        <f t="shared" si="126"/>
        <v>16.33703896103896</v>
      </c>
      <c r="K305" s="7">
        <v>0</v>
      </c>
      <c r="L305" s="7">
        <v>1</v>
      </c>
      <c r="M305" s="7">
        <v>0</v>
      </c>
      <c r="N305" s="75">
        <f t="shared" si="120"/>
        <v>0</v>
      </c>
      <c r="O305" s="75">
        <f t="shared" si="122"/>
        <v>130.52467532467534</v>
      </c>
      <c r="P305" s="75">
        <f t="shared" si="123"/>
        <v>39.418451948051953</v>
      </c>
      <c r="Q305" s="68">
        <f t="shared" si="124"/>
        <v>133.13516883116884</v>
      </c>
      <c r="R305" s="55">
        <f>1.635+2.9+0.508*100</f>
        <v>55.334999999999994</v>
      </c>
      <c r="S305" s="55">
        <v>55.334999999999994</v>
      </c>
      <c r="T305" s="78">
        <f t="shared" si="125"/>
        <v>55.334999999999994</v>
      </c>
      <c r="U305" s="9">
        <f t="shared" si="97"/>
        <v>358.41329610389613</v>
      </c>
      <c r="V305" s="75">
        <f t="shared" si="102"/>
        <v>89.603324025974032</v>
      </c>
      <c r="W305" s="42">
        <v>448</v>
      </c>
      <c r="X305" s="71">
        <v>424.14163519480519</v>
      </c>
      <c r="Y305" s="60">
        <f t="shared" si="105"/>
        <v>1.0562509379543388</v>
      </c>
      <c r="Z305" s="60">
        <f t="shared" si="96"/>
        <v>5.6250937954338776E-2</v>
      </c>
      <c r="AA305" s="14"/>
      <c r="AC305" s="16"/>
      <c r="AD305" s="5"/>
      <c r="AE305" s="5"/>
      <c r="AF305" s="5"/>
      <c r="AG305" s="5"/>
      <c r="AH305" s="5"/>
    </row>
    <row r="306" spans="1:34" s="47" customFormat="1" ht="15" customHeight="1" x14ac:dyDescent="0.2">
      <c r="A306" s="36" t="s">
        <v>639</v>
      </c>
      <c r="B306" s="27" t="s">
        <v>173</v>
      </c>
      <c r="C306" s="21">
        <v>942048</v>
      </c>
      <c r="D306" s="7">
        <v>1650</v>
      </c>
      <c r="E306" s="7">
        <v>6</v>
      </c>
      <c r="F306" s="8">
        <f t="shared" si="121"/>
        <v>57.093818181818186</v>
      </c>
      <c r="G306" s="33">
        <v>471732</v>
      </c>
      <c r="H306" s="7">
        <v>1925</v>
      </c>
      <c r="I306" s="7">
        <v>1</v>
      </c>
      <c r="J306" s="8">
        <f t="shared" si="126"/>
        <v>4.08425974025974</v>
      </c>
      <c r="K306" s="7">
        <v>0</v>
      </c>
      <c r="L306" s="7">
        <v>1</v>
      </c>
      <c r="M306" s="7">
        <v>0</v>
      </c>
      <c r="N306" s="75">
        <f t="shared" si="120"/>
        <v>0</v>
      </c>
      <c r="O306" s="75">
        <f t="shared" si="122"/>
        <v>61.178077922077925</v>
      </c>
      <c r="P306" s="75">
        <f t="shared" si="123"/>
        <v>18.475779532467534</v>
      </c>
      <c r="Q306" s="68">
        <f t="shared" si="124"/>
        <v>62.401639480519485</v>
      </c>
      <c r="R306" s="55">
        <f>15.74+5.9+0.508*100</f>
        <v>72.44</v>
      </c>
      <c r="S306" s="55">
        <v>72.44</v>
      </c>
      <c r="T306" s="78">
        <f t="shared" si="125"/>
        <v>72.44</v>
      </c>
      <c r="U306" s="9">
        <f t="shared" si="97"/>
        <v>214.49549693506495</v>
      </c>
      <c r="V306" s="75">
        <f t="shared" si="102"/>
        <v>53.623874233766237</v>
      </c>
      <c r="W306" s="42">
        <v>268</v>
      </c>
      <c r="X306" s="71">
        <v>257.82426649350651</v>
      </c>
      <c r="Y306" s="60">
        <f t="shared" si="105"/>
        <v>1.039467710487018</v>
      </c>
      <c r="Z306" s="60">
        <f t="shared" si="96"/>
        <v>3.9467710487018026E-2</v>
      </c>
      <c r="AA306" s="14"/>
      <c r="AC306" s="16"/>
      <c r="AD306" s="5"/>
      <c r="AE306" s="5"/>
      <c r="AF306" s="5"/>
      <c r="AG306" s="5"/>
      <c r="AH306" s="5"/>
    </row>
    <row r="307" spans="1:34" s="47" customFormat="1" ht="15" customHeight="1" x14ac:dyDescent="0.2">
      <c r="A307" s="36" t="s">
        <v>640</v>
      </c>
      <c r="B307" s="27" t="s">
        <v>174</v>
      </c>
      <c r="C307" s="21">
        <v>942048</v>
      </c>
      <c r="D307" s="7">
        <v>1650</v>
      </c>
      <c r="E307" s="7">
        <v>5</v>
      </c>
      <c r="F307" s="8">
        <f t="shared" si="121"/>
        <v>47.578181818181818</v>
      </c>
      <c r="G307" s="33">
        <v>471732</v>
      </c>
      <c r="H307" s="7">
        <v>1925</v>
      </c>
      <c r="I307" s="7">
        <v>3</v>
      </c>
      <c r="J307" s="8">
        <f t="shared" si="126"/>
        <v>12.252779220779221</v>
      </c>
      <c r="K307" s="7">
        <v>20000</v>
      </c>
      <c r="L307" s="7">
        <v>846720</v>
      </c>
      <c r="M307" s="7">
        <v>5</v>
      </c>
      <c r="N307" s="75">
        <f t="shared" si="120"/>
        <v>0.11810279667422525</v>
      </c>
      <c r="O307" s="75">
        <f t="shared" si="122"/>
        <v>59.949063835635258</v>
      </c>
      <c r="P307" s="75">
        <f t="shared" si="123"/>
        <v>18.104617278361847</v>
      </c>
      <c r="Q307" s="68">
        <f t="shared" si="124"/>
        <v>61.148045112347965</v>
      </c>
      <c r="R307" s="55">
        <f>0.508*100+15.74+2.9+1.635*2+65.9+3.6+1.54*2</f>
        <v>145.29000000000002</v>
      </c>
      <c r="S307" s="55">
        <v>145.29000000000002</v>
      </c>
      <c r="T307" s="78">
        <f t="shared" si="125"/>
        <v>145.29000000000002</v>
      </c>
      <c r="U307" s="9">
        <f t="shared" si="97"/>
        <v>284.6098290230193</v>
      </c>
      <c r="V307" s="75">
        <f t="shared" si="102"/>
        <v>71.152457255754825</v>
      </c>
      <c r="W307" s="42">
        <v>356</v>
      </c>
      <c r="X307" s="71">
        <v>349.2085166683845</v>
      </c>
      <c r="Y307" s="60">
        <f t="shared" si="105"/>
        <v>1.0194482179197961</v>
      </c>
      <c r="Z307" s="60">
        <f t="shared" si="96"/>
        <v>1.9448217919796118E-2</v>
      </c>
      <c r="AA307" s="14"/>
      <c r="AC307" s="16"/>
      <c r="AD307" s="5"/>
      <c r="AE307" s="5"/>
      <c r="AF307" s="5"/>
      <c r="AG307" s="5"/>
      <c r="AH307" s="5"/>
    </row>
    <row r="308" spans="1:34" s="47" customFormat="1" ht="15" customHeight="1" x14ac:dyDescent="0.2">
      <c r="A308" s="36" t="s">
        <v>906</v>
      </c>
      <c r="B308" s="27" t="s">
        <v>356</v>
      </c>
      <c r="C308" s="21">
        <v>942048</v>
      </c>
      <c r="D308" s="7">
        <v>1800</v>
      </c>
      <c r="E308" s="7">
        <v>5</v>
      </c>
      <c r="F308" s="8">
        <f t="shared" si="121"/>
        <v>43.613333333333337</v>
      </c>
      <c r="G308" s="33">
        <v>471732</v>
      </c>
      <c r="H308" s="7">
        <v>1800</v>
      </c>
      <c r="I308" s="7">
        <v>1</v>
      </c>
      <c r="J308" s="8">
        <f t="shared" si="126"/>
        <v>4.3678888888888885</v>
      </c>
      <c r="K308" s="7">
        <v>0</v>
      </c>
      <c r="L308" s="7">
        <v>1</v>
      </c>
      <c r="M308" s="7">
        <v>0</v>
      </c>
      <c r="N308" s="75">
        <f>K308/L308*M308</f>
        <v>0</v>
      </c>
      <c r="O308" s="75">
        <f>F308+J308+N308</f>
        <v>47.981222222222229</v>
      </c>
      <c r="P308" s="75">
        <f>O308*0.302</f>
        <v>14.490329111111112</v>
      </c>
      <c r="Q308" s="68">
        <f>(O308)*102%</f>
        <v>48.940846666666673</v>
      </c>
      <c r="R308" s="55">
        <f>9.95+0.57*2</f>
        <v>11.09</v>
      </c>
      <c r="S308" s="55">
        <v>11.09</v>
      </c>
      <c r="T308" s="78">
        <f t="shared" si="125"/>
        <v>11.09</v>
      </c>
      <c r="U308" s="9">
        <f t="shared" si="97"/>
        <v>122.50239800000001</v>
      </c>
      <c r="V308" s="75">
        <f>U308*25%</f>
        <v>30.625599500000003</v>
      </c>
      <c r="W308" s="42">
        <v>153</v>
      </c>
      <c r="X308" s="71">
        <v>151.18300000000002</v>
      </c>
      <c r="Y308" s="60">
        <f t="shared" si="105"/>
        <v>1.0120185470588623</v>
      </c>
      <c r="Z308" s="60">
        <f t="shared" si="96"/>
        <v>1.2018547058862294E-2</v>
      </c>
      <c r="AA308" s="14"/>
      <c r="AC308" s="16"/>
      <c r="AD308" s="5"/>
      <c r="AE308" s="5"/>
      <c r="AF308" s="5"/>
      <c r="AG308" s="5"/>
      <c r="AH308" s="5"/>
    </row>
    <row r="309" spans="1:34" s="47" customFormat="1" ht="15" customHeight="1" x14ac:dyDescent="0.2">
      <c r="A309" s="36" t="s">
        <v>907</v>
      </c>
      <c r="B309" s="27" t="s">
        <v>357</v>
      </c>
      <c r="C309" s="21">
        <v>942048</v>
      </c>
      <c r="D309" s="7">
        <v>1800</v>
      </c>
      <c r="E309" s="7">
        <v>5</v>
      </c>
      <c r="F309" s="8">
        <f t="shared" si="121"/>
        <v>43.613333333333337</v>
      </c>
      <c r="G309" s="33">
        <v>471732</v>
      </c>
      <c r="H309" s="7">
        <v>1800</v>
      </c>
      <c r="I309" s="7">
        <v>1</v>
      </c>
      <c r="J309" s="8">
        <f t="shared" si="126"/>
        <v>4.3678888888888885</v>
      </c>
      <c r="K309" s="7">
        <v>0</v>
      </c>
      <c r="L309" s="7">
        <v>1</v>
      </c>
      <c r="M309" s="7">
        <v>0</v>
      </c>
      <c r="N309" s="75">
        <f>K309/L309*M309</f>
        <v>0</v>
      </c>
      <c r="O309" s="75">
        <f>F309+J309+N309</f>
        <v>47.981222222222229</v>
      </c>
      <c r="P309" s="75">
        <f>O309*0.302</f>
        <v>14.490329111111112</v>
      </c>
      <c r="Q309" s="68">
        <f>(O309)*102%</f>
        <v>48.940846666666673</v>
      </c>
      <c r="R309" s="55">
        <f>9.95+0.57*2</f>
        <v>11.09</v>
      </c>
      <c r="S309" s="55">
        <v>11.09</v>
      </c>
      <c r="T309" s="78">
        <f t="shared" si="125"/>
        <v>11.09</v>
      </c>
      <c r="U309" s="9">
        <f t="shared" si="97"/>
        <v>122.50239800000001</v>
      </c>
      <c r="V309" s="75">
        <f>U309*25%</f>
        <v>30.625599500000003</v>
      </c>
      <c r="W309" s="42">
        <v>153</v>
      </c>
      <c r="X309" s="71">
        <v>151.18300000000002</v>
      </c>
      <c r="Y309" s="60">
        <f t="shared" si="105"/>
        <v>1.0120185470588623</v>
      </c>
      <c r="Z309" s="60">
        <f t="shared" si="96"/>
        <v>1.2018547058862294E-2</v>
      </c>
      <c r="AA309" s="14"/>
      <c r="AC309" s="16"/>
      <c r="AD309" s="5"/>
      <c r="AE309" s="5"/>
      <c r="AF309" s="5"/>
      <c r="AG309" s="5"/>
      <c r="AH309" s="5"/>
    </row>
    <row r="310" spans="1:34" s="47" customFormat="1" ht="15" customHeight="1" x14ac:dyDescent="0.2">
      <c r="A310" s="36" t="s">
        <v>641</v>
      </c>
      <c r="B310" s="27" t="s">
        <v>16</v>
      </c>
      <c r="C310" s="21">
        <v>942048</v>
      </c>
      <c r="D310" s="7">
        <v>1650</v>
      </c>
      <c r="E310" s="7">
        <v>14</v>
      </c>
      <c r="F310" s="8">
        <f t="shared" ref="F310:F321" si="127">C310/D310/60*E310</f>
        <v>133.21890909090911</v>
      </c>
      <c r="G310" s="33">
        <v>471732</v>
      </c>
      <c r="H310" s="7">
        <v>1925</v>
      </c>
      <c r="I310" s="7">
        <v>5</v>
      </c>
      <c r="J310" s="8">
        <f t="shared" ref="J310:J321" si="128">G310/H310/60*I310</f>
        <v>20.421298701298699</v>
      </c>
      <c r="K310" s="7">
        <v>0</v>
      </c>
      <c r="L310" s="7">
        <v>1</v>
      </c>
      <c r="M310" s="7">
        <v>0</v>
      </c>
      <c r="N310" s="75">
        <f t="shared" si="120"/>
        <v>0</v>
      </c>
      <c r="O310" s="75">
        <f t="shared" ref="O310:O321" si="129">F310+J310+N310</f>
        <v>153.6402077922078</v>
      </c>
      <c r="P310" s="75">
        <f>O310*0.302</f>
        <v>46.399342753246756</v>
      </c>
      <c r="Q310" s="68">
        <f t="shared" ref="Q310:Q321" si="130">(O310)*102%</f>
        <v>156.71301194805196</v>
      </c>
      <c r="R310" s="55">
        <f>35.7+15.7461+1.365*5+50+1.39*5</f>
        <v>115.22110000000001</v>
      </c>
      <c r="S310" s="55">
        <v>115.22110000000001</v>
      </c>
      <c r="T310" s="78">
        <f t="shared" si="125"/>
        <v>115.22110000000001</v>
      </c>
      <c r="U310" s="9">
        <f t="shared" si="97"/>
        <v>471.97366249350648</v>
      </c>
      <c r="V310" s="75">
        <f t="shared" ref="V310:V372" si="131">U310*25%</f>
        <v>117.99341562337662</v>
      </c>
      <c r="W310" s="42">
        <v>590</v>
      </c>
      <c r="X310" s="71">
        <v>572.17120980519485</v>
      </c>
      <c r="Y310" s="60">
        <f t="shared" si="105"/>
        <v>1.0311598869171961</v>
      </c>
      <c r="Z310" s="60">
        <f t="shared" ref="Z310:Z371" si="132">Y310-100%</f>
        <v>3.1159886917196067E-2</v>
      </c>
      <c r="AA310" s="14"/>
      <c r="AC310" s="16"/>
      <c r="AD310" s="5"/>
      <c r="AE310" s="5"/>
      <c r="AF310" s="5"/>
      <c r="AG310" s="5"/>
      <c r="AH310" s="5"/>
    </row>
    <row r="311" spans="1:34" s="47" customFormat="1" ht="15" customHeight="1" x14ac:dyDescent="0.2">
      <c r="A311" s="36" t="s">
        <v>908</v>
      </c>
      <c r="B311" s="27" t="s">
        <v>841</v>
      </c>
      <c r="C311" s="21">
        <v>942048</v>
      </c>
      <c r="D311" s="7">
        <v>1650</v>
      </c>
      <c r="E311" s="7">
        <v>14</v>
      </c>
      <c r="F311" s="8">
        <f t="shared" si="127"/>
        <v>133.21890909090911</v>
      </c>
      <c r="G311" s="33">
        <v>471732</v>
      </c>
      <c r="H311" s="7">
        <v>1925</v>
      </c>
      <c r="I311" s="7">
        <v>5</v>
      </c>
      <c r="J311" s="8">
        <f t="shared" si="128"/>
        <v>20.421298701298699</v>
      </c>
      <c r="K311" s="7">
        <v>54050</v>
      </c>
      <c r="L311" s="7">
        <v>846720</v>
      </c>
      <c r="M311" s="7">
        <v>20</v>
      </c>
      <c r="N311" s="75">
        <f t="shared" si="120"/>
        <v>1.276691232048375</v>
      </c>
      <c r="O311" s="75">
        <f t="shared" si="129"/>
        <v>154.91689902425617</v>
      </c>
      <c r="P311" s="75">
        <f t="shared" ref="P311:P320" si="133">O311*0.302</f>
        <v>46.78490350532536</v>
      </c>
      <c r="Q311" s="68">
        <f t="shared" si="130"/>
        <v>158.01523700474129</v>
      </c>
      <c r="R311" s="55">
        <f>3.16*2</f>
        <v>6.32</v>
      </c>
      <c r="S311" s="55">
        <v>6.32</v>
      </c>
      <c r="T311" s="78">
        <f t="shared" si="125"/>
        <v>6.32</v>
      </c>
      <c r="U311" s="9">
        <f t="shared" ref="U311:U373" si="134">N311+O311+P311+Q311+T311</f>
        <v>367.31373076637118</v>
      </c>
      <c r="V311" s="75">
        <f t="shared" si="131"/>
        <v>91.828432691592795</v>
      </c>
      <c r="W311" s="42">
        <v>459</v>
      </c>
      <c r="X311" s="71">
        <v>451.72714293848344</v>
      </c>
      <c r="Y311" s="60">
        <f t="shared" si="105"/>
        <v>1.0161001108195684</v>
      </c>
      <c r="Z311" s="60">
        <f t="shared" si="132"/>
        <v>1.6100110819568414E-2</v>
      </c>
      <c r="AA311" s="14"/>
      <c r="AC311" s="16"/>
      <c r="AD311" s="5"/>
      <c r="AE311" s="5"/>
      <c r="AF311" s="5"/>
      <c r="AG311" s="5"/>
      <c r="AH311" s="5"/>
    </row>
    <row r="312" spans="1:34" s="47" customFormat="1" ht="15" customHeight="1" x14ac:dyDescent="0.2">
      <c r="A312" s="36" t="s">
        <v>642</v>
      </c>
      <c r="B312" s="27" t="s">
        <v>17</v>
      </c>
      <c r="C312" s="21">
        <v>942048</v>
      </c>
      <c r="D312" s="7">
        <v>1650</v>
      </c>
      <c r="E312" s="7">
        <v>8</v>
      </c>
      <c r="F312" s="8">
        <f t="shared" si="127"/>
        <v>76.125090909090915</v>
      </c>
      <c r="G312" s="33">
        <v>471732</v>
      </c>
      <c r="H312" s="7">
        <v>1925</v>
      </c>
      <c r="I312" s="7">
        <v>5</v>
      </c>
      <c r="J312" s="8">
        <f t="shared" si="128"/>
        <v>20.421298701298699</v>
      </c>
      <c r="K312" s="7">
        <v>24400</v>
      </c>
      <c r="L312" s="7">
        <v>846720</v>
      </c>
      <c r="M312" s="7">
        <v>10</v>
      </c>
      <c r="N312" s="75">
        <f t="shared" si="120"/>
        <v>0.28817082388510962</v>
      </c>
      <c r="O312" s="75">
        <f t="shared" si="129"/>
        <v>96.834560434274721</v>
      </c>
      <c r="P312" s="75">
        <f t="shared" si="133"/>
        <v>29.244037251150964</v>
      </c>
      <c r="Q312" s="68">
        <f t="shared" si="130"/>
        <v>98.771251642960223</v>
      </c>
      <c r="R312" s="55">
        <f>3.16*2</f>
        <v>6.32</v>
      </c>
      <c r="S312" s="55">
        <v>6.32</v>
      </c>
      <c r="T312" s="78">
        <f t="shared" si="125"/>
        <v>6.32</v>
      </c>
      <c r="U312" s="9">
        <f t="shared" si="134"/>
        <v>231.45802015227099</v>
      </c>
      <c r="V312" s="75">
        <f t="shared" si="131"/>
        <v>57.864505038067747</v>
      </c>
      <c r="W312" s="42">
        <v>289</v>
      </c>
      <c r="X312" s="71">
        <v>280.51671713839073</v>
      </c>
      <c r="Y312" s="60">
        <f t="shared" si="105"/>
        <v>1.0302416303318711</v>
      </c>
      <c r="Z312" s="60">
        <f t="shared" si="132"/>
        <v>3.0241630331871105E-2</v>
      </c>
      <c r="AA312" s="14"/>
      <c r="AC312" s="16"/>
      <c r="AD312" s="5"/>
      <c r="AE312" s="5"/>
      <c r="AF312" s="5"/>
      <c r="AG312" s="5"/>
      <c r="AH312" s="5"/>
    </row>
    <row r="313" spans="1:34" s="47" customFormat="1" ht="15" customHeight="1" x14ac:dyDescent="0.2">
      <c r="A313" s="36" t="s">
        <v>643</v>
      </c>
      <c r="B313" s="27" t="s">
        <v>18</v>
      </c>
      <c r="C313" s="21">
        <v>942048</v>
      </c>
      <c r="D313" s="7">
        <v>1650</v>
      </c>
      <c r="E313" s="7">
        <v>14</v>
      </c>
      <c r="F313" s="8">
        <f t="shared" si="127"/>
        <v>133.21890909090911</v>
      </c>
      <c r="G313" s="33">
        <v>471732</v>
      </c>
      <c r="H313" s="7">
        <v>1925</v>
      </c>
      <c r="I313" s="7">
        <v>5</v>
      </c>
      <c r="J313" s="8">
        <f t="shared" si="128"/>
        <v>20.421298701298699</v>
      </c>
      <c r="K313" s="7">
        <v>24400</v>
      </c>
      <c r="L313" s="7">
        <v>846720</v>
      </c>
      <c r="M313" s="7">
        <v>20</v>
      </c>
      <c r="N313" s="75">
        <f t="shared" si="120"/>
        <v>0.57634164777021923</v>
      </c>
      <c r="O313" s="75">
        <f t="shared" si="129"/>
        <v>154.21654943997802</v>
      </c>
      <c r="P313" s="75">
        <f t="shared" si="133"/>
        <v>46.573397930873362</v>
      </c>
      <c r="Q313" s="68">
        <f t="shared" si="130"/>
        <v>157.30088042877759</v>
      </c>
      <c r="R313" s="55">
        <f>3.16*2</f>
        <v>6.32</v>
      </c>
      <c r="S313" s="55">
        <v>6.32</v>
      </c>
      <c r="T313" s="78">
        <f t="shared" si="125"/>
        <v>6.32</v>
      </c>
      <c r="U313" s="9">
        <f t="shared" si="134"/>
        <v>364.9871694473992</v>
      </c>
      <c r="V313" s="75">
        <f t="shared" si="131"/>
        <v>91.246792361849799</v>
      </c>
      <c r="W313" s="42">
        <v>456</v>
      </c>
      <c r="X313" s="71">
        <v>448.81894128976847</v>
      </c>
      <c r="Y313" s="60">
        <f t="shared" si="105"/>
        <v>1.0159999011841954</v>
      </c>
      <c r="Z313" s="60">
        <f t="shared" si="132"/>
        <v>1.5999901184195364E-2</v>
      </c>
      <c r="AA313" s="14"/>
      <c r="AC313" s="16"/>
      <c r="AD313" s="5"/>
      <c r="AE313" s="5"/>
      <c r="AF313" s="5"/>
      <c r="AG313" s="5"/>
      <c r="AH313" s="5"/>
    </row>
    <row r="314" spans="1:34" s="47" customFormat="1" ht="15" customHeight="1" x14ac:dyDescent="0.2">
      <c r="A314" s="36" t="s">
        <v>644</v>
      </c>
      <c r="B314" s="27" t="s">
        <v>887</v>
      </c>
      <c r="C314" s="21">
        <v>942048</v>
      </c>
      <c r="D314" s="7">
        <v>1650</v>
      </c>
      <c r="E314" s="7">
        <v>5</v>
      </c>
      <c r="F314" s="8">
        <f t="shared" si="127"/>
        <v>47.578181818181818</v>
      </c>
      <c r="G314" s="33">
        <v>471732</v>
      </c>
      <c r="H314" s="7">
        <v>1925</v>
      </c>
      <c r="I314" s="7">
        <v>4</v>
      </c>
      <c r="J314" s="8">
        <f t="shared" si="128"/>
        <v>16.33703896103896</v>
      </c>
      <c r="K314" s="7">
        <v>0</v>
      </c>
      <c r="L314" s="7">
        <v>1</v>
      </c>
      <c r="M314" s="7">
        <v>0</v>
      </c>
      <c r="N314" s="75">
        <f t="shared" si="120"/>
        <v>0</v>
      </c>
      <c r="O314" s="75">
        <f t="shared" si="129"/>
        <v>63.915220779220775</v>
      </c>
      <c r="P314" s="75">
        <f t="shared" si="133"/>
        <v>19.302396675324673</v>
      </c>
      <c r="Q314" s="68">
        <f t="shared" si="130"/>
        <v>65.19352519480519</v>
      </c>
      <c r="R314" s="55">
        <f>2.6*2+1.54*4+33.04</f>
        <v>44.4</v>
      </c>
      <c r="S314" s="55">
        <v>44.4</v>
      </c>
      <c r="T314" s="78">
        <f t="shared" si="125"/>
        <v>44.4</v>
      </c>
      <c r="U314" s="9">
        <f t="shared" si="134"/>
        <v>192.81114264935064</v>
      </c>
      <c r="V314" s="75">
        <f t="shared" si="131"/>
        <v>48.202785662337661</v>
      </c>
      <c r="W314" s="42">
        <v>241</v>
      </c>
      <c r="X314" s="71">
        <v>232.9864425974026</v>
      </c>
      <c r="Y314" s="60">
        <f t="shared" si="105"/>
        <v>1.034394951539926</v>
      </c>
      <c r="Z314" s="60">
        <f t="shared" si="132"/>
        <v>3.4394951539926E-2</v>
      </c>
      <c r="AA314" s="14"/>
      <c r="AC314" s="16"/>
      <c r="AD314" s="5"/>
      <c r="AE314" s="5"/>
      <c r="AF314" s="5"/>
      <c r="AG314" s="5"/>
      <c r="AH314" s="5"/>
    </row>
    <row r="315" spans="1:34" s="47" customFormat="1" ht="15" customHeight="1" x14ac:dyDescent="0.2">
      <c r="A315" s="36" t="s">
        <v>645</v>
      </c>
      <c r="B315" s="27" t="s">
        <v>720</v>
      </c>
      <c r="C315" s="21">
        <v>942048</v>
      </c>
      <c r="D315" s="7">
        <v>1650</v>
      </c>
      <c r="E315" s="7">
        <v>9</v>
      </c>
      <c r="F315" s="8">
        <f t="shared" si="127"/>
        <v>85.640727272727275</v>
      </c>
      <c r="G315" s="33">
        <v>471732</v>
      </c>
      <c r="H315" s="7">
        <v>1925</v>
      </c>
      <c r="I315" s="7">
        <v>2</v>
      </c>
      <c r="J315" s="8">
        <f t="shared" si="128"/>
        <v>8.1685194805194801</v>
      </c>
      <c r="K315" s="7">
        <v>0</v>
      </c>
      <c r="L315" s="7">
        <v>1</v>
      </c>
      <c r="M315" s="7">
        <v>0</v>
      </c>
      <c r="N315" s="75">
        <f t="shared" si="120"/>
        <v>0</v>
      </c>
      <c r="O315" s="75">
        <f t="shared" si="129"/>
        <v>93.809246753246754</v>
      </c>
      <c r="P315" s="75">
        <f t="shared" si="133"/>
        <v>28.330392519480519</v>
      </c>
      <c r="Q315" s="68">
        <f t="shared" si="130"/>
        <v>95.685431688311695</v>
      </c>
      <c r="R315" s="55">
        <f>13+1.635*4+27+0.57+12.27</f>
        <v>59.379999999999995</v>
      </c>
      <c r="S315" s="55">
        <v>59.379999999999995</v>
      </c>
      <c r="T315" s="78">
        <f t="shared" si="125"/>
        <v>59.379999999999995</v>
      </c>
      <c r="U315" s="9">
        <f t="shared" si="134"/>
        <v>277.20507096103893</v>
      </c>
      <c r="V315" s="75">
        <f t="shared" si="131"/>
        <v>69.301267740259732</v>
      </c>
      <c r="W315" s="42">
        <v>347</v>
      </c>
      <c r="X315" s="71">
        <v>335.43291168831166</v>
      </c>
      <c r="Y315" s="60">
        <f t="shared" si="105"/>
        <v>1.034484058983564</v>
      </c>
      <c r="Z315" s="60">
        <f t="shared" si="132"/>
        <v>3.4484058983563992E-2</v>
      </c>
      <c r="AA315" s="14"/>
      <c r="AC315" s="16"/>
      <c r="AD315" s="5"/>
      <c r="AE315" s="5"/>
      <c r="AF315" s="5"/>
      <c r="AG315" s="5"/>
      <c r="AH315" s="5"/>
    </row>
    <row r="316" spans="1:34" s="47" customFormat="1" ht="15" customHeight="1" x14ac:dyDescent="0.2">
      <c r="A316" s="36" t="s">
        <v>909</v>
      </c>
      <c r="B316" s="27" t="s">
        <v>41</v>
      </c>
      <c r="C316" s="21">
        <v>942048</v>
      </c>
      <c r="D316" s="7">
        <v>1650</v>
      </c>
      <c r="E316" s="7">
        <v>17</v>
      </c>
      <c r="F316" s="8">
        <f t="shared" si="127"/>
        <v>161.76581818181819</v>
      </c>
      <c r="G316" s="33">
        <v>471732</v>
      </c>
      <c r="H316" s="7">
        <v>1925</v>
      </c>
      <c r="I316" s="7">
        <v>10</v>
      </c>
      <c r="J316" s="8">
        <f t="shared" si="128"/>
        <v>40.842597402597399</v>
      </c>
      <c r="K316" s="7">
        <v>264100</v>
      </c>
      <c r="L316" s="7">
        <v>846720</v>
      </c>
      <c r="M316" s="7">
        <v>21</v>
      </c>
      <c r="N316" s="75">
        <f t="shared" si="120"/>
        <v>6.5500992063492065</v>
      </c>
      <c r="O316" s="75">
        <f t="shared" si="129"/>
        <v>209.1585147907648</v>
      </c>
      <c r="P316" s="75">
        <f t="shared" si="133"/>
        <v>63.16587146681097</v>
      </c>
      <c r="Q316" s="68">
        <f t="shared" si="130"/>
        <v>213.3416850865801</v>
      </c>
      <c r="R316" s="55">
        <f>1.54*2+1.635*2</f>
        <v>6.35</v>
      </c>
      <c r="S316" s="55">
        <v>6.35</v>
      </c>
      <c r="T316" s="78">
        <f t="shared" si="125"/>
        <v>6.35</v>
      </c>
      <c r="U316" s="9">
        <f t="shared" si="134"/>
        <v>498.56617055050515</v>
      </c>
      <c r="V316" s="75">
        <f t="shared" si="131"/>
        <v>124.64154263762629</v>
      </c>
      <c r="W316" s="42">
        <v>623</v>
      </c>
      <c r="X316" s="71">
        <v>599.07600149981965</v>
      </c>
      <c r="Y316" s="60">
        <f t="shared" si="105"/>
        <v>1.0399348303725826</v>
      </c>
      <c r="Z316" s="60">
        <f t="shared" si="132"/>
        <v>3.9934830372582608E-2</v>
      </c>
      <c r="AA316" s="14"/>
      <c r="AC316" s="16"/>
      <c r="AD316" s="5"/>
      <c r="AE316" s="5"/>
      <c r="AF316" s="5"/>
      <c r="AG316" s="5"/>
      <c r="AH316" s="5"/>
    </row>
    <row r="317" spans="1:34" s="47" customFormat="1" ht="15" customHeight="1" x14ac:dyDescent="0.2">
      <c r="A317" s="36" t="s">
        <v>646</v>
      </c>
      <c r="B317" s="27" t="s">
        <v>161</v>
      </c>
      <c r="C317" s="21">
        <v>942048</v>
      </c>
      <c r="D317" s="7">
        <v>1650</v>
      </c>
      <c r="E317" s="7">
        <v>9</v>
      </c>
      <c r="F317" s="8">
        <f t="shared" si="127"/>
        <v>85.640727272727275</v>
      </c>
      <c r="G317" s="33">
        <v>471732</v>
      </c>
      <c r="H317" s="7">
        <v>1925</v>
      </c>
      <c r="I317" s="7">
        <v>5</v>
      </c>
      <c r="J317" s="8">
        <f t="shared" si="128"/>
        <v>20.421298701298699</v>
      </c>
      <c r="K317" s="7">
        <v>268900</v>
      </c>
      <c r="L317" s="7">
        <v>846720</v>
      </c>
      <c r="M317" s="7">
        <v>12</v>
      </c>
      <c r="N317" s="75">
        <f t="shared" si="120"/>
        <v>3.8109410430839001</v>
      </c>
      <c r="O317" s="75">
        <f t="shared" si="129"/>
        <v>109.87296701710987</v>
      </c>
      <c r="P317" s="75">
        <f t="shared" si="133"/>
        <v>33.181636039167181</v>
      </c>
      <c r="Q317" s="68">
        <f t="shared" si="130"/>
        <v>112.07042635745208</v>
      </c>
      <c r="R317" s="55">
        <f>1.54*2+15.1261+1.635*4</f>
        <v>24.746099999999998</v>
      </c>
      <c r="S317" s="55">
        <v>24.746099999999998</v>
      </c>
      <c r="T317" s="78">
        <f t="shared" si="125"/>
        <v>24.746099999999998</v>
      </c>
      <c r="U317" s="9">
        <f t="shared" si="134"/>
        <v>283.68207045681305</v>
      </c>
      <c r="V317" s="75">
        <f t="shared" si="131"/>
        <v>70.920517614203263</v>
      </c>
      <c r="W317" s="42">
        <v>355</v>
      </c>
      <c r="X317" s="71">
        <v>349.48886053854869</v>
      </c>
      <c r="Y317" s="60">
        <f t="shared" si="105"/>
        <v>1.0157691419776838</v>
      </c>
      <c r="Z317" s="60">
        <f t="shared" si="132"/>
        <v>1.5769141977683754E-2</v>
      </c>
      <c r="AA317" s="14"/>
      <c r="AC317" s="16"/>
      <c r="AD317" s="5"/>
      <c r="AE317" s="5"/>
      <c r="AF317" s="5"/>
      <c r="AG317" s="5"/>
      <c r="AH317" s="5"/>
    </row>
    <row r="318" spans="1:34" s="47" customFormat="1" ht="15" customHeight="1" x14ac:dyDescent="0.2">
      <c r="A318" s="36" t="s">
        <v>647</v>
      </c>
      <c r="B318" s="27" t="s">
        <v>842</v>
      </c>
      <c r="C318" s="21">
        <v>942048</v>
      </c>
      <c r="D318" s="7">
        <v>1650</v>
      </c>
      <c r="E318" s="7">
        <v>11</v>
      </c>
      <c r="F318" s="8">
        <f t="shared" si="127"/>
        <v>104.67200000000001</v>
      </c>
      <c r="G318" s="33">
        <v>471732</v>
      </c>
      <c r="H318" s="7">
        <v>1925</v>
      </c>
      <c r="I318" s="7">
        <v>4</v>
      </c>
      <c r="J318" s="8">
        <f t="shared" si="128"/>
        <v>16.33703896103896</v>
      </c>
      <c r="K318" s="7">
        <v>0</v>
      </c>
      <c r="L318" s="7">
        <v>1</v>
      </c>
      <c r="M318" s="7">
        <v>0</v>
      </c>
      <c r="N318" s="75">
        <f t="shared" si="120"/>
        <v>0</v>
      </c>
      <c r="O318" s="75">
        <f t="shared" si="129"/>
        <v>121.00903896103897</v>
      </c>
      <c r="P318" s="75">
        <f t="shared" si="133"/>
        <v>36.544729766233765</v>
      </c>
      <c r="Q318" s="68">
        <f t="shared" si="130"/>
        <v>123.42921974025975</v>
      </c>
      <c r="R318" s="55">
        <f>1.54+1.635*4+12*2</f>
        <v>32.08</v>
      </c>
      <c r="S318" s="55">
        <v>32.08</v>
      </c>
      <c r="T318" s="78">
        <f t="shared" si="125"/>
        <v>32.08</v>
      </c>
      <c r="U318" s="9">
        <f t="shared" si="134"/>
        <v>313.06298846753248</v>
      </c>
      <c r="V318" s="75">
        <f t="shared" si="131"/>
        <v>78.265747116883119</v>
      </c>
      <c r="W318" s="42">
        <v>391</v>
      </c>
      <c r="X318" s="71">
        <v>384.69203740259741</v>
      </c>
      <c r="Y318" s="60">
        <f t="shared" si="105"/>
        <v>1.0163974347896394</v>
      </c>
      <c r="Z318" s="60">
        <f t="shared" si="132"/>
        <v>1.6397434789639398E-2</v>
      </c>
      <c r="AA318" s="14"/>
      <c r="AC318" s="16"/>
      <c r="AD318" s="5"/>
      <c r="AE318" s="5"/>
      <c r="AF318" s="5"/>
      <c r="AG318" s="5"/>
      <c r="AH318" s="5"/>
    </row>
    <row r="319" spans="1:34" s="47" customFormat="1" ht="15" customHeight="1" x14ac:dyDescent="0.2">
      <c r="A319" s="36" t="s">
        <v>648</v>
      </c>
      <c r="B319" s="27" t="s">
        <v>34</v>
      </c>
      <c r="C319" s="21">
        <v>942048</v>
      </c>
      <c r="D319" s="7">
        <v>1650</v>
      </c>
      <c r="E319" s="7">
        <v>9</v>
      </c>
      <c r="F319" s="8">
        <f t="shared" si="127"/>
        <v>85.640727272727275</v>
      </c>
      <c r="G319" s="33">
        <v>471732</v>
      </c>
      <c r="H319" s="7">
        <v>1925</v>
      </c>
      <c r="I319" s="7">
        <v>2</v>
      </c>
      <c r="J319" s="8">
        <f t="shared" si="128"/>
        <v>8.1685194805194801</v>
      </c>
      <c r="K319" s="7">
        <v>12093</v>
      </c>
      <c r="L319" s="7">
        <v>846720</v>
      </c>
      <c r="M319" s="7">
        <v>5</v>
      </c>
      <c r="N319" s="75">
        <f t="shared" si="120"/>
        <v>7.1410856009070295E-2</v>
      </c>
      <c r="O319" s="75">
        <f t="shared" si="129"/>
        <v>93.88065760925582</v>
      </c>
      <c r="P319" s="75">
        <f t="shared" si="133"/>
        <v>28.351958597995257</v>
      </c>
      <c r="Q319" s="68">
        <f t="shared" si="130"/>
        <v>95.75827076144094</v>
      </c>
      <c r="R319" s="55">
        <f>1.635*6+1.39*5+1.54*4</f>
        <v>22.919999999999998</v>
      </c>
      <c r="S319" s="55">
        <v>22.919999999999998</v>
      </c>
      <c r="T319" s="78">
        <f t="shared" si="125"/>
        <v>22.919999999999998</v>
      </c>
      <c r="U319" s="9">
        <f t="shared" si="134"/>
        <v>240.98229782470108</v>
      </c>
      <c r="V319" s="75">
        <f t="shared" si="131"/>
        <v>60.24557445617527</v>
      </c>
      <c r="W319" s="42">
        <v>301</v>
      </c>
      <c r="X319" s="71">
        <v>290.15444526788929</v>
      </c>
      <c r="Y319" s="60">
        <f t="shared" si="105"/>
        <v>1.0373785578990438</v>
      </c>
      <c r="Z319" s="60">
        <f t="shared" si="132"/>
        <v>3.7378557899043763E-2</v>
      </c>
      <c r="AA319" s="14"/>
      <c r="AC319" s="16"/>
      <c r="AD319" s="5"/>
      <c r="AE319" s="5"/>
      <c r="AF319" s="5"/>
      <c r="AG319" s="5"/>
      <c r="AH319" s="5"/>
    </row>
    <row r="320" spans="1:34" s="47" customFormat="1" ht="15" customHeight="1" x14ac:dyDescent="0.2">
      <c r="A320" s="36" t="s">
        <v>910</v>
      </c>
      <c r="B320" s="27" t="s">
        <v>843</v>
      </c>
      <c r="C320" s="21">
        <v>942048</v>
      </c>
      <c r="D320" s="7">
        <v>1650</v>
      </c>
      <c r="E320" s="7">
        <v>6</v>
      </c>
      <c r="F320" s="8">
        <f t="shared" si="127"/>
        <v>57.093818181818186</v>
      </c>
      <c r="G320" s="33">
        <v>471732</v>
      </c>
      <c r="H320" s="7">
        <v>1925</v>
      </c>
      <c r="I320" s="7">
        <v>4</v>
      </c>
      <c r="J320" s="8">
        <f t="shared" si="128"/>
        <v>16.33703896103896</v>
      </c>
      <c r="K320" s="7">
        <v>0</v>
      </c>
      <c r="L320" s="7">
        <v>1</v>
      </c>
      <c r="M320" s="7">
        <v>0</v>
      </c>
      <c r="N320" s="75">
        <f t="shared" si="120"/>
        <v>0</v>
      </c>
      <c r="O320" s="75">
        <f t="shared" si="129"/>
        <v>73.43085714285715</v>
      </c>
      <c r="P320" s="75">
        <f t="shared" si="133"/>
        <v>22.176118857142857</v>
      </c>
      <c r="Q320" s="68">
        <f t="shared" si="130"/>
        <v>74.899474285714291</v>
      </c>
      <c r="R320" s="55">
        <f>2.6*2+1.54*4</f>
        <v>11.36</v>
      </c>
      <c r="S320" s="55">
        <f>2.6*2+1.54*4</f>
        <v>11.36</v>
      </c>
      <c r="T320" s="78">
        <f t="shared" si="125"/>
        <v>11.36</v>
      </c>
      <c r="U320" s="9">
        <f t="shared" si="134"/>
        <v>181.86645028571428</v>
      </c>
      <c r="V320" s="75">
        <f>U320*25%</f>
        <v>45.46661257142857</v>
      </c>
      <c r="W320" s="42">
        <v>227</v>
      </c>
      <c r="X320" s="71">
        <v>222.9976576623377</v>
      </c>
      <c r="Y320" s="60">
        <f t="shared" si="105"/>
        <v>1.0179479120077692</v>
      </c>
      <c r="Z320" s="60">
        <f t="shared" si="132"/>
        <v>1.794791200776924E-2</v>
      </c>
      <c r="AA320" s="14"/>
      <c r="AC320" s="16"/>
      <c r="AD320" s="5"/>
      <c r="AE320" s="5"/>
      <c r="AF320" s="5"/>
      <c r="AG320" s="5"/>
      <c r="AH320" s="5"/>
    </row>
    <row r="321" spans="1:34" s="47" customFormat="1" ht="15" customHeight="1" x14ac:dyDescent="0.2">
      <c r="A321" s="36" t="s">
        <v>649</v>
      </c>
      <c r="B321" s="27" t="s">
        <v>302</v>
      </c>
      <c r="C321" s="21">
        <v>942048</v>
      </c>
      <c r="D321" s="7">
        <v>1650</v>
      </c>
      <c r="E321" s="7">
        <v>11</v>
      </c>
      <c r="F321" s="8">
        <f t="shared" si="127"/>
        <v>104.67200000000001</v>
      </c>
      <c r="G321" s="33">
        <v>471732</v>
      </c>
      <c r="H321" s="7">
        <v>1925</v>
      </c>
      <c r="I321" s="7">
        <v>4</v>
      </c>
      <c r="J321" s="8">
        <f t="shared" si="128"/>
        <v>16.33703896103896</v>
      </c>
      <c r="K321" s="7">
        <v>245000</v>
      </c>
      <c r="L321" s="7">
        <v>846720</v>
      </c>
      <c r="M321" s="7">
        <v>10</v>
      </c>
      <c r="N321" s="75">
        <f t="shared" si="120"/>
        <v>2.8935185185185186</v>
      </c>
      <c r="O321" s="75">
        <f t="shared" si="129"/>
        <v>123.90255747955749</v>
      </c>
      <c r="P321" s="75">
        <f>O321*0.302</f>
        <v>37.41857235882636</v>
      </c>
      <c r="Q321" s="68">
        <f t="shared" si="130"/>
        <v>126.38060862914864</v>
      </c>
      <c r="R321" s="55">
        <f>1.54*2+3.16*3</f>
        <v>12.56</v>
      </c>
      <c r="S321" s="55">
        <v>12.56</v>
      </c>
      <c r="T321" s="78">
        <f t="shared" si="125"/>
        <v>12.56</v>
      </c>
      <c r="U321" s="9">
        <f t="shared" si="134"/>
        <v>303.15525698605103</v>
      </c>
      <c r="V321" s="75">
        <f>U321*25%</f>
        <v>75.788814246512757</v>
      </c>
      <c r="W321" s="42">
        <v>379</v>
      </c>
      <c r="X321" s="71">
        <v>372.30737305074564</v>
      </c>
      <c r="Y321" s="60">
        <f t="shared" si="105"/>
        <v>1.0179760795345361</v>
      </c>
      <c r="Z321" s="60">
        <f t="shared" si="132"/>
        <v>1.797607953453606E-2</v>
      </c>
      <c r="AA321" s="14"/>
      <c r="AC321" s="16"/>
      <c r="AD321" s="5"/>
      <c r="AE321" s="5"/>
      <c r="AF321" s="5"/>
      <c r="AG321" s="5"/>
      <c r="AH321" s="5"/>
    </row>
    <row r="322" spans="1:34" s="47" customFormat="1" ht="15" customHeight="1" x14ac:dyDescent="0.2">
      <c r="A322" s="36" t="s">
        <v>911</v>
      </c>
      <c r="B322" s="27" t="s">
        <v>308</v>
      </c>
      <c r="C322" s="21">
        <v>942048</v>
      </c>
      <c r="D322" s="7">
        <v>1800</v>
      </c>
      <c r="E322" s="7">
        <v>4</v>
      </c>
      <c r="F322" s="8">
        <f t="shared" ref="F322:F385" si="135">C322/D322/60*E322</f>
        <v>34.890666666666668</v>
      </c>
      <c r="G322" s="33">
        <v>471732</v>
      </c>
      <c r="H322" s="7">
        <v>1800</v>
      </c>
      <c r="I322" s="7">
        <v>1</v>
      </c>
      <c r="J322" s="8">
        <f t="shared" ref="J322:J385" si="136">G322/H322/60*I322</f>
        <v>4.3678888888888885</v>
      </c>
      <c r="K322" s="7">
        <v>91000</v>
      </c>
      <c r="L322" s="7">
        <v>846720</v>
      </c>
      <c r="M322" s="7">
        <v>10</v>
      </c>
      <c r="N322" s="75">
        <f t="shared" si="120"/>
        <v>1.0747354497354498</v>
      </c>
      <c r="O322" s="75">
        <f t="shared" ref="O322:O379" si="137">F322+J322+N322</f>
        <v>40.333291005291009</v>
      </c>
      <c r="P322" s="75">
        <f>O322*0.302</f>
        <v>12.180653883597884</v>
      </c>
      <c r="Q322" s="68">
        <f>(O322)*102%</f>
        <v>41.13995682539683</v>
      </c>
      <c r="R322" s="55">
        <f>9.95+2.42*8+6.6+11.5*8+1.11+3.16*2</f>
        <v>135.34</v>
      </c>
      <c r="S322" s="55">
        <v>135.34</v>
      </c>
      <c r="T322" s="78">
        <f>S322*1-10</f>
        <v>125.34</v>
      </c>
      <c r="U322" s="9">
        <f t="shared" si="134"/>
        <v>220.06863716402117</v>
      </c>
      <c r="V322" s="75">
        <f t="shared" si="131"/>
        <v>55.017159291005292</v>
      </c>
      <c r="W322" s="42">
        <v>275</v>
      </c>
      <c r="X322" s="71">
        <v>272.21167895502646</v>
      </c>
      <c r="Y322" s="60">
        <f t="shared" si="105"/>
        <v>1.0102432087252002</v>
      </c>
      <c r="Z322" s="60">
        <f t="shared" si="132"/>
        <v>1.0243208725200237E-2</v>
      </c>
      <c r="AA322" s="14"/>
      <c r="AC322" s="16"/>
      <c r="AD322" s="5"/>
      <c r="AE322" s="5"/>
      <c r="AF322" s="5"/>
      <c r="AG322" s="5"/>
      <c r="AH322" s="5"/>
    </row>
    <row r="323" spans="1:34" s="47" customFormat="1" ht="15" customHeight="1" x14ac:dyDescent="0.2">
      <c r="A323" s="36" t="s">
        <v>650</v>
      </c>
      <c r="B323" s="27" t="s">
        <v>309</v>
      </c>
      <c r="C323" s="21">
        <v>942048</v>
      </c>
      <c r="D323" s="7">
        <v>1800</v>
      </c>
      <c r="E323" s="7">
        <v>3</v>
      </c>
      <c r="F323" s="8">
        <f t="shared" si="135"/>
        <v>26.167999999999999</v>
      </c>
      <c r="G323" s="33">
        <v>471732</v>
      </c>
      <c r="H323" s="7">
        <v>1800</v>
      </c>
      <c r="I323" s="7">
        <v>1</v>
      </c>
      <c r="J323" s="8">
        <f>G323/H323/60*I323</f>
        <v>4.3678888888888885</v>
      </c>
      <c r="K323" s="7">
        <v>18500</v>
      </c>
      <c r="L323" s="7">
        <v>846720</v>
      </c>
      <c r="M323" s="7">
        <v>5</v>
      </c>
      <c r="N323" s="75">
        <f>K323/L323*M323</f>
        <v>0.10924508692365836</v>
      </c>
      <c r="O323" s="75">
        <f>F323+J323+N323</f>
        <v>30.645133975812545</v>
      </c>
      <c r="P323" s="75">
        <f>O323*0.302</f>
        <v>9.2548304606953877</v>
      </c>
      <c r="Q323" s="68">
        <f t="shared" ref="Q323:Q404" si="138">(O323)*102%</f>
        <v>31.258036655328798</v>
      </c>
      <c r="R323" s="55">
        <f>7.95+1.42+1.11+1.36*100+3.16*2+6.6+0.66</f>
        <v>160.05999999999997</v>
      </c>
      <c r="S323" s="55">
        <v>160.05999999999997</v>
      </c>
      <c r="T323" s="78">
        <f>S323*1-10</f>
        <v>150.05999999999997</v>
      </c>
      <c r="U323" s="9">
        <f t="shared" si="134"/>
        <v>221.32724617876036</v>
      </c>
      <c r="V323" s="75">
        <f>U323*25%</f>
        <v>55.33181154469009</v>
      </c>
      <c r="W323" s="42">
        <v>277</v>
      </c>
      <c r="X323" s="71">
        <v>269.18889022345047</v>
      </c>
      <c r="Y323" s="60">
        <f t="shared" si="105"/>
        <v>1.0290172070996899</v>
      </c>
      <c r="Z323" s="60">
        <f t="shared" si="132"/>
        <v>2.9017207099689912E-2</v>
      </c>
      <c r="AA323" s="14"/>
      <c r="AC323" s="16"/>
      <c r="AD323" s="5"/>
      <c r="AE323" s="5"/>
      <c r="AF323" s="5"/>
      <c r="AG323" s="5"/>
      <c r="AH323" s="5"/>
    </row>
    <row r="324" spans="1:34" s="47" customFormat="1" ht="15" customHeight="1" x14ac:dyDescent="0.2">
      <c r="A324" s="36" t="s">
        <v>651</v>
      </c>
      <c r="B324" s="27" t="s">
        <v>188</v>
      </c>
      <c r="C324" s="21">
        <v>942048</v>
      </c>
      <c r="D324" s="7">
        <v>1800</v>
      </c>
      <c r="E324" s="7">
        <v>8</v>
      </c>
      <c r="F324" s="8">
        <f t="shared" si="135"/>
        <v>69.781333333333336</v>
      </c>
      <c r="G324" s="33">
        <v>471732</v>
      </c>
      <c r="H324" s="7">
        <v>1800</v>
      </c>
      <c r="I324" s="7">
        <v>4</v>
      </c>
      <c r="J324" s="8">
        <f t="shared" si="136"/>
        <v>17.471555555555554</v>
      </c>
      <c r="K324" s="7">
        <v>3300</v>
      </c>
      <c r="L324" s="7">
        <v>846720</v>
      </c>
      <c r="M324" s="7">
        <v>10</v>
      </c>
      <c r="N324" s="75">
        <f t="shared" ref="N324:N428" si="139">K324/L324*M324</f>
        <v>3.897392290249433E-2</v>
      </c>
      <c r="O324" s="75">
        <f t="shared" si="137"/>
        <v>87.29186281179139</v>
      </c>
      <c r="P324" s="75">
        <f t="shared" ref="P324:P401" si="140">O324*0.302</f>
        <v>26.362142569160998</v>
      </c>
      <c r="Q324" s="68">
        <f t="shared" si="138"/>
        <v>89.03770006802722</v>
      </c>
      <c r="R324" s="55">
        <f>9.95+10.5+1.11+3.16</f>
        <v>24.72</v>
      </c>
      <c r="S324" s="55">
        <v>24.72</v>
      </c>
      <c r="T324" s="78">
        <f>S324*1-10</f>
        <v>14.719999999999999</v>
      </c>
      <c r="U324" s="9">
        <f t="shared" si="134"/>
        <v>217.4506793718821</v>
      </c>
      <c r="V324" s="75">
        <f>U324*25%</f>
        <v>54.362669842970526</v>
      </c>
      <c r="W324" s="42">
        <v>272</v>
      </c>
      <c r="X324" s="71">
        <v>269.1622392148526</v>
      </c>
      <c r="Y324" s="60">
        <f t="shared" si="105"/>
        <v>1.0105429379448809</v>
      </c>
      <c r="Z324" s="60">
        <f t="shared" si="132"/>
        <v>1.0542937944880926E-2</v>
      </c>
      <c r="AA324" s="14"/>
      <c r="AC324" s="16"/>
      <c r="AD324" s="5"/>
      <c r="AE324" s="5"/>
      <c r="AF324" s="5"/>
      <c r="AG324" s="5"/>
      <c r="AH324" s="5"/>
    </row>
    <row r="325" spans="1:34" s="47" customFormat="1" ht="15" customHeight="1" x14ac:dyDescent="0.2">
      <c r="A325" s="36" t="s">
        <v>652</v>
      </c>
      <c r="B325" s="27" t="s">
        <v>353</v>
      </c>
      <c r="C325" s="21">
        <v>942048</v>
      </c>
      <c r="D325" s="7">
        <v>1800</v>
      </c>
      <c r="E325" s="7">
        <v>7</v>
      </c>
      <c r="F325" s="8">
        <f t="shared" si="135"/>
        <v>61.058666666666667</v>
      </c>
      <c r="G325" s="33">
        <v>471732</v>
      </c>
      <c r="H325" s="7">
        <v>1800</v>
      </c>
      <c r="I325" s="7">
        <v>2</v>
      </c>
      <c r="J325" s="8">
        <f>G325/H325/60*I325</f>
        <v>8.735777777777777</v>
      </c>
      <c r="K325" s="7">
        <v>23500</v>
      </c>
      <c r="L325" s="7">
        <v>846720</v>
      </c>
      <c r="M325" s="7">
        <v>6</v>
      </c>
      <c r="N325" s="75">
        <f>K325/L325*M325</f>
        <v>0.16652494331065759</v>
      </c>
      <c r="O325" s="75">
        <f>F325+J325+N325</f>
        <v>69.960969387755114</v>
      </c>
      <c r="P325" s="75">
        <f>O325*0.302</f>
        <v>21.128212755102044</v>
      </c>
      <c r="Q325" s="68">
        <f t="shared" si="138"/>
        <v>71.360188775510224</v>
      </c>
      <c r="R325" s="55">
        <f>9.95*2+0.67+0.45+0.63+1.99*3+2+3.16*2</f>
        <v>35.94</v>
      </c>
      <c r="S325" s="55">
        <v>35.94</v>
      </c>
      <c r="T325" s="78">
        <f t="shared" ref="T325:T387" si="141">S325*1</f>
        <v>35.94</v>
      </c>
      <c r="U325" s="9">
        <f t="shared" si="134"/>
        <v>198.55589586167804</v>
      </c>
      <c r="V325" s="75">
        <f>U325*25%</f>
        <v>49.63897396541951</v>
      </c>
      <c r="W325" s="42">
        <v>248</v>
      </c>
      <c r="X325" s="71">
        <v>233.62724482709754</v>
      </c>
      <c r="Y325" s="60">
        <f t="shared" si="105"/>
        <v>1.0615200302667587</v>
      </c>
      <c r="Z325" s="60">
        <f t="shared" si="132"/>
        <v>6.1520030266758674E-2</v>
      </c>
      <c r="AA325" s="14"/>
      <c r="AC325" s="16"/>
      <c r="AD325" s="5"/>
      <c r="AE325" s="5"/>
      <c r="AF325" s="5"/>
      <c r="AG325" s="5"/>
      <c r="AH325" s="5"/>
    </row>
    <row r="326" spans="1:34" s="47" customFormat="1" ht="15" customHeight="1" x14ac:dyDescent="0.2">
      <c r="A326" s="36" t="s">
        <v>653</v>
      </c>
      <c r="B326" s="27" t="s">
        <v>358</v>
      </c>
      <c r="C326" s="21">
        <v>942048</v>
      </c>
      <c r="D326" s="7">
        <v>1800</v>
      </c>
      <c r="E326" s="7">
        <v>7</v>
      </c>
      <c r="F326" s="8">
        <f t="shared" si="135"/>
        <v>61.058666666666667</v>
      </c>
      <c r="G326" s="33">
        <v>471732</v>
      </c>
      <c r="H326" s="7">
        <v>1800</v>
      </c>
      <c r="I326" s="7">
        <v>2</v>
      </c>
      <c r="J326" s="8">
        <f t="shared" si="136"/>
        <v>8.735777777777777</v>
      </c>
      <c r="K326" s="7">
        <v>18500</v>
      </c>
      <c r="L326" s="7">
        <v>846720</v>
      </c>
      <c r="M326" s="7">
        <v>6</v>
      </c>
      <c r="N326" s="75">
        <f t="shared" si="139"/>
        <v>0.13109410430839002</v>
      </c>
      <c r="O326" s="75">
        <f t="shared" si="137"/>
        <v>69.92553854875284</v>
      </c>
      <c r="P326" s="75">
        <f t="shared" si="140"/>
        <v>21.117512641723359</v>
      </c>
      <c r="Q326" s="68">
        <f t="shared" si="138"/>
        <v>71.324049319727905</v>
      </c>
      <c r="R326" s="55">
        <f>9.95*2+1+1.99*3+3.16*2+1.11</f>
        <v>34.299999999999997</v>
      </c>
      <c r="S326" s="55">
        <v>34.299999999999997</v>
      </c>
      <c r="T326" s="78">
        <f t="shared" si="141"/>
        <v>34.299999999999997</v>
      </c>
      <c r="U326" s="9">
        <f t="shared" si="134"/>
        <v>196.79819461451251</v>
      </c>
      <c r="V326" s="75">
        <f t="shared" si="131"/>
        <v>49.199548653628128</v>
      </c>
      <c r="W326" s="42">
        <v>246</v>
      </c>
      <c r="X326" s="71">
        <v>232.25011826814062</v>
      </c>
      <c r="Y326" s="60">
        <f t="shared" si="105"/>
        <v>1.0592029051885548</v>
      </c>
      <c r="Z326" s="60">
        <f t="shared" si="132"/>
        <v>5.9202905188554755E-2</v>
      </c>
      <c r="AA326" s="14"/>
      <c r="AC326" s="16"/>
      <c r="AD326" s="5"/>
      <c r="AE326" s="5"/>
      <c r="AF326" s="5"/>
      <c r="AG326" s="5"/>
      <c r="AH326" s="5"/>
    </row>
    <row r="327" spans="1:34" s="47" customFormat="1" ht="15" customHeight="1" x14ac:dyDescent="0.2">
      <c r="A327" s="36" t="s">
        <v>654</v>
      </c>
      <c r="B327" s="27" t="s">
        <v>362</v>
      </c>
      <c r="C327" s="21">
        <v>942048</v>
      </c>
      <c r="D327" s="7">
        <v>1800</v>
      </c>
      <c r="E327" s="7">
        <v>3</v>
      </c>
      <c r="F327" s="8">
        <f t="shared" si="135"/>
        <v>26.167999999999999</v>
      </c>
      <c r="G327" s="33">
        <v>471732</v>
      </c>
      <c r="H327" s="7">
        <v>1800</v>
      </c>
      <c r="I327" s="7">
        <v>3</v>
      </c>
      <c r="J327" s="8">
        <f t="shared" si="136"/>
        <v>13.103666666666665</v>
      </c>
      <c r="K327" s="7">
        <v>18500</v>
      </c>
      <c r="L327" s="7">
        <v>846720</v>
      </c>
      <c r="M327" s="7">
        <v>4</v>
      </c>
      <c r="N327" s="75">
        <f t="shared" si="139"/>
        <v>8.7396069538926688E-2</v>
      </c>
      <c r="O327" s="75">
        <f t="shared" si="137"/>
        <v>39.359062736205587</v>
      </c>
      <c r="P327" s="75">
        <f t="shared" si="140"/>
        <v>11.886436946334086</v>
      </c>
      <c r="Q327" s="68">
        <f t="shared" si="138"/>
        <v>40.146243990929698</v>
      </c>
      <c r="R327" s="55">
        <f>9.95*2+6+2+1.42+1.99*3+2.1+3.16*2+1.11+1.54*5+3.1+1.7</f>
        <v>57.320000000000007</v>
      </c>
      <c r="S327" s="55">
        <v>57.320000000000007</v>
      </c>
      <c r="T327" s="78">
        <f t="shared" si="141"/>
        <v>57.320000000000007</v>
      </c>
      <c r="U327" s="9">
        <f t="shared" si="134"/>
        <v>148.79913974300831</v>
      </c>
      <c r="V327" s="75">
        <f t="shared" si="131"/>
        <v>37.199784935752078</v>
      </c>
      <c r="W327" s="42">
        <v>186</v>
      </c>
      <c r="X327" s="71">
        <v>179.75398217876037</v>
      </c>
      <c r="Y327" s="60">
        <f t="shared" ref="Y327:Y390" si="142">W327/X327</f>
        <v>1.03474759082126</v>
      </c>
      <c r="Z327" s="60">
        <f t="shared" si="132"/>
        <v>3.4747590821259999E-2</v>
      </c>
      <c r="AA327" s="14"/>
      <c r="AC327" s="16"/>
      <c r="AD327" s="5"/>
      <c r="AE327" s="5"/>
      <c r="AF327" s="5"/>
      <c r="AG327" s="5"/>
      <c r="AH327" s="5"/>
    </row>
    <row r="328" spans="1:34" s="47" customFormat="1" ht="15" customHeight="1" x14ac:dyDescent="0.2">
      <c r="A328" s="36" t="s">
        <v>655</v>
      </c>
      <c r="B328" s="27" t="s">
        <v>79</v>
      </c>
      <c r="C328" s="21">
        <v>942048</v>
      </c>
      <c r="D328" s="7">
        <v>1800</v>
      </c>
      <c r="E328" s="7">
        <v>2</v>
      </c>
      <c r="F328" s="8">
        <f t="shared" si="135"/>
        <v>17.445333333333334</v>
      </c>
      <c r="G328" s="33">
        <v>471732</v>
      </c>
      <c r="H328" s="7">
        <v>1800</v>
      </c>
      <c r="I328" s="7">
        <v>3</v>
      </c>
      <c r="J328" s="8">
        <f t="shared" si="136"/>
        <v>13.103666666666665</v>
      </c>
      <c r="K328" s="7">
        <v>850715</v>
      </c>
      <c r="L328" s="7">
        <v>846720</v>
      </c>
      <c r="M328" s="7">
        <v>4</v>
      </c>
      <c r="N328" s="75">
        <f t="shared" si="139"/>
        <v>4.0188728269085408</v>
      </c>
      <c r="O328" s="75">
        <f t="shared" si="137"/>
        <v>34.567872826908541</v>
      </c>
      <c r="P328" s="75">
        <f t="shared" si="140"/>
        <v>10.439497593726379</v>
      </c>
      <c r="Q328" s="68">
        <f t="shared" si="138"/>
        <v>35.259230283446712</v>
      </c>
      <c r="R328" s="55">
        <f>9.95*2+1.99*3+3.16*5+1.54*2+1.36*4+1.545*2.5+0.6*2.6+1.11+3.1</f>
        <v>59.822499999999998</v>
      </c>
      <c r="S328" s="55">
        <v>59.822499999999998</v>
      </c>
      <c r="T328" s="78">
        <f t="shared" si="141"/>
        <v>59.822499999999998</v>
      </c>
      <c r="U328" s="9">
        <f t="shared" si="134"/>
        <v>144.10797353099017</v>
      </c>
      <c r="V328" s="75">
        <f t="shared" si="131"/>
        <v>36.026993382747541</v>
      </c>
      <c r="W328" s="42">
        <v>180</v>
      </c>
      <c r="X328" s="71">
        <v>179.08295691373775</v>
      </c>
      <c r="Y328" s="60">
        <f t="shared" si="142"/>
        <v>1.005120772529482</v>
      </c>
      <c r="Z328" s="60">
        <f t="shared" si="132"/>
        <v>5.1207725294819539E-3</v>
      </c>
      <c r="AA328" s="14"/>
      <c r="AC328" s="16"/>
      <c r="AD328" s="5"/>
      <c r="AE328" s="5"/>
      <c r="AF328" s="5"/>
      <c r="AG328" s="5"/>
      <c r="AH328" s="5"/>
    </row>
    <row r="329" spans="1:34" s="47" customFormat="1" ht="15" customHeight="1" x14ac:dyDescent="0.2">
      <c r="A329" s="36" t="s">
        <v>656</v>
      </c>
      <c r="B329" s="27" t="s">
        <v>189</v>
      </c>
      <c r="C329" s="21">
        <v>942048</v>
      </c>
      <c r="D329" s="7">
        <v>1800</v>
      </c>
      <c r="E329" s="7">
        <v>6</v>
      </c>
      <c r="F329" s="8">
        <f t="shared" si="135"/>
        <v>52.335999999999999</v>
      </c>
      <c r="G329" s="33">
        <v>471732</v>
      </c>
      <c r="H329" s="7">
        <v>1800</v>
      </c>
      <c r="I329" s="7">
        <v>6</v>
      </c>
      <c r="J329" s="8">
        <f t="shared" si="136"/>
        <v>26.207333333333331</v>
      </c>
      <c r="K329" s="7">
        <v>18500</v>
      </c>
      <c r="L329" s="7">
        <v>846720</v>
      </c>
      <c r="M329" s="7">
        <v>5</v>
      </c>
      <c r="N329" s="75">
        <f t="shared" si="139"/>
        <v>0.10924508692365836</v>
      </c>
      <c r="O329" s="75">
        <f t="shared" si="137"/>
        <v>78.652578420256987</v>
      </c>
      <c r="P329" s="75">
        <f t="shared" si="140"/>
        <v>23.753078682917611</v>
      </c>
      <c r="Q329" s="68">
        <f t="shared" si="138"/>
        <v>80.225629988662121</v>
      </c>
      <c r="R329" s="55">
        <f>9.95*2+2+1.99*3+3.16*2+1.11+0.21*3+8.72+1.7+1.8491*2.5</f>
        <v>50.972750000000005</v>
      </c>
      <c r="S329" s="55">
        <v>50.972750000000005</v>
      </c>
      <c r="T329" s="78">
        <f t="shared" si="141"/>
        <v>50.972750000000005</v>
      </c>
      <c r="U329" s="9">
        <f t="shared" si="134"/>
        <v>233.71328217876038</v>
      </c>
      <c r="V329" s="75">
        <f t="shared" si="131"/>
        <v>58.428320544690095</v>
      </c>
      <c r="W329" s="42">
        <v>292</v>
      </c>
      <c r="X329" s="71">
        <v>284.34076647345051</v>
      </c>
      <c r="Y329" s="60">
        <f t="shared" si="142"/>
        <v>1.0269368111422905</v>
      </c>
      <c r="Z329" s="60">
        <f t="shared" si="132"/>
        <v>2.6936811142290518E-2</v>
      </c>
      <c r="AA329" s="14"/>
      <c r="AC329" s="16"/>
      <c r="AD329" s="5"/>
      <c r="AE329" s="5"/>
      <c r="AF329" s="5"/>
      <c r="AG329" s="5"/>
      <c r="AH329" s="5"/>
    </row>
    <row r="330" spans="1:34" s="47" customFormat="1" ht="15" customHeight="1" x14ac:dyDescent="0.2">
      <c r="A330" s="36" t="s">
        <v>657</v>
      </c>
      <c r="B330" s="27" t="s">
        <v>190</v>
      </c>
      <c r="C330" s="21">
        <v>942048</v>
      </c>
      <c r="D330" s="7">
        <v>1800</v>
      </c>
      <c r="E330" s="7">
        <v>13</v>
      </c>
      <c r="F330" s="8">
        <f t="shared" si="135"/>
        <v>113.39466666666667</v>
      </c>
      <c r="G330" s="33">
        <v>471732</v>
      </c>
      <c r="H330" s="7">
        <v>1800</v>
      </c>
      <c r="I330" s="7">
        <v>9</v>
      </c>
      <c r="J330" s="8">
        <f t="shared" si="136"/>
        <v>39.310999999999993</v>
      </c>
      <c r="K330" s="7">
        <v>18500</v>
      </c>
      <c r="L330" s="7">
        <v>846720</v>
      </c>
      <c r="M330" s="7">
        <v>10</v>
      </c>
      <c r="N330" s="75">
        <f t="shared" si="139"/>
        <v>0.21849017384731673</v>
      </c>
      <c r="O330" s="75">
        <f t="shared" si="137"/>
        <v>152.924156840514</v>
      </c>
      <c r="P330" s="75">
        <f t="shared" si="140"/>
        <v>46.183095365835229</v>
      </c>
      <c r="Q330" s="68">
        <f t="shared" si="138"/>
        <v>155.98263997732428</v>
      </c>
      <c r="R330" s="55">
        <f>9.95*2+1.99*3+1.54*5+3.16*2+1.994*5+1.42+0.27*10+0.18*10+4+1.99*9+1.11+3.6</f>
        <v>82.399999999999991</v>
      </c>
      <c r="S330" s="55">
        <v>82.399999999999991</v>
      </c>
      <c r="T330" s="78">
        <f t="shared" si="141"/>
        <v>82.399999999999991</v>
      </c>
      <c r="U330" s="9">
        <f t="shared" si="134"/>
        <v>437.7083823575208</v>
      </c>
      <c r="V330" s="75">
        <f t="shared" si="131"/>
        <v>109.4270955893802</v>
      </c>
      <c r="W330" s="42">
        <v>547</v>
      </c>
      <c r="X330" s="71">
        <v>532.39305044690104</v>
      </c>
      <c r="Y330" s="60">
        <f t="shared" si="142"/>
        <v>1.0274364016225186</v>
      </c>
      <c r="Z330" s="60">
        <f t="shared" si="132"/>
        <v>2.7436401622518591E-2</v>
      </c>
      <c r="AA330" s="14"/>
      <c r="AC330" s="16"/>
      <c r="AD330" s="5"/>
      <c r="AE330" s="5"/>
      <c r="AF330" s="5"/>
      <c r="AG330" s="5"/>
      <c r="AH330" s="5"/>
    </row>
    <row r="331" spans="1:34" s="47" customFormat="1" ht="15" customHeight="1" x14ac:dyDescent="0.2">
      <c r="A331" s="36" t="s">
        <v>658</v>
      </c>
      <c r="B331" s="27" t="s">
        <v>43</v>
      </c>
      <c r="C331" s="21">
        <v>942048</v>
      </c>
      <c r="D331" s="7">
        <v>1800</v>
      </c>
      <c r="E331" s="7">
        <v>0</v>
      </c>
      <c r="F331" s="8">
        <f t="shared" si="135"/>
        <v>0</v>
      </c>
      <c r="G331" s="33">
        <v>471732</v>
      </c>
      <c r="H331" s="7">
        <v>1800</v>
      </c>
      <c r="I331" s="7">
        <v>3</v>
      </c>
      <c r="J331" s="8">
        <f t="shared" si="136"/>
        <v>13.103666666666665</v>
      </c>
      <c r="K331" s="7">
        <v>850715</v>
      </c>
      <c r="L331" s="7">
        <v>846720</v>
      </c>
      <c r="M331" s="7">
        <v>2</v>
      </c>
      <c r="N331" s="75">
        <f t="shared" si="139"/>
        <v>2.0094364134542704</v>
      </c>
      <c r="O331" s="75">
        <f t="shared" si="137"/>
        <v>15.113103080120936</v>
      </c>
      <c r="P331" s="75">
        <f t="shared" si="140"/>
        <v>4.5641571301965227</v>
      </c>
      <c r="Q331" s="68">
        <f t="shared" si="138"/>
        <v>15.415365141723356</v>
      </c>
      <c r="R331" s="55">
        <f>9.95*2+1.54*5+1.99*3+3.1+1.11+1.36*40+1.545*2.5+0.6*2.6</f>
        <v>97.602500000000006</v>
      </c>
      <c r="S331" s="55">
        <v>97.602500000000006</v>
      </c>
      <c r="T331" s="78">
        <f t="shared" si="141"/>
        <v>97.602500000000006</v>
      </c>
      <c r="U331" s="9">
        <f t="shared" si="134"/>
        <v>134.7045617654951</v>
      </c>
      <c r="V331" s="75">
        <f t="shared" si="131"/>
        <v>33.676140441373775</v>
      </c>
      <c r="W331" s="42">
        <v>168</v>
      </c>
      <c r="X331" s="71">
        <v>167.56486735343444</v>
      </c>
      <c r="Y331" s="60">
        <f t="shared" si="142"/>
        <v>1.002596801187732</v>
      </c>
      <c r="Z331" s="60">
        <f t="shared" si="132"/>
        <v>2.5968011877319785E-3</v>
      </c>
      <c r="AA331" s="14"/>
      <c r="AC331" s="16"/>
      <c r="AD331" s="5"/>
      <c r="AE331" s="5"/>
      <c r="AF331" s="5"/>
      <c r="AG331" s="5"/>
      <c r="AH331" s="5"/>
    </row>
    <row r="332" spans="1:34" s="47" customFormat="1" ht="15" customHeight="1" x14ac:dyDescent="0.2">
      <c r="A332" s="36" t="s">
        <v>912</v>
      </c>
      <c r="B332" s="27" t="s">
        <v>80</v>
      </c>
      <c r="C332" s="21">
        <v>942048</v>
      </c>
      <c r="D332" s="7">
        <v>1800</v>
      </c>
      <c r="E332" s="7">
        <v>0</v>
      </c>
      <c r="F332" s="8">
        <f t="shared" si="135"/>
        <v>0</v>
      </c>
      <c r="G332" s="33">
        <v>471732</v>
      </c>
      <c r="H332" s="7">
        <v>1800</v>
      </c>
      <c r="I332" s="7">
        <v>3</v>
      </c>
      <c r="J332" s="8">
        <f t="shared" si="136"/>
        <v>13.103666666666665</v>
      </c>
      <c r="K332" s="7">
        <v>850715</v>
      </c>
      <c r="L332" s="7">
        <v>846721</v>
      </c>
      <c r="M332" s="7">
        <v>2</v>
      </c>
      <c r="N332" s="75">
        <f t="shared" si="139"/>
        <v>2.0094340402564717</v>
      </c>
      <c r="O332" s="75">
        <f t="shared" si="137"/>
        <v>15.113100706923138</v>
      </c>
      <c r="P332" s="75">
        <f t="shared" si="140"/>
        <v>4.5641564134907879</v>
      </c>
      <c r="Q332" s="68">
        <f t="shared" si="138"/>
        <v>15.415362721061602</v>
      </c>
      <c r="R332" s="55">
        <f>9.95*2+1.54*5+1.99*3+3.1+1.11+1.36*40+1.545*2.5+0.6*2.6</f>
        <v>97.602500000000006</v>
      </c>
      <c r="S332" s="55">
        <v>97.602500000000006</v>
      </c>
      <c r="T332" s="78">
        <f t="shared" si="141"/>
        <v>97.602500000000006</v>
      </c>
      <c r="U332" s="9">
        <f t="shared" si="134"/>
        <v>134.70455388173201</v>
      </c>
      <c r="V332" s="75">
        <f t="shared" si="131"/>
        <v>33.676138470433003</v>
      </c>
      <c r="W332" s="42">
        <v>168</v>
      </c>
      <c r="X332" s="71">
        <v>167.5648624260825</v>
      </c>
      <c r="Y332" s="60">
        <f t="shared" si="142"/>
        <v>1.0025968306697322</v>
      </c>
      <c r="Z332" s="60">
        <f t="shared" si="132"/>
        <v>2.596830669732153E-3</v>
      </c>
      <c r="AA332" s="14"/>
      <c r="AC332" s="16"/>
      <c r="AD332" s="5"/>
      <c r="AE332" s="5"/>
      <c r="AF332" s="5"/>
      <c r="AG332" s="5"/>
      <c r="AH332" s="5"/>
    </row>
    <row r="333" spans="1:34" s="47" customFormat="1" ht="15" customHeight="1" x14ac:dyDescent="0.2">
      <c r="A333" s="36" t="s">
        <v>659</v>
      </c>
      <c r="B333" s="27" t="s">
        <v>56</v>
      </c>
      <c r="C333" s="21">
        <v>942048</v>
      </c>
      <c r="D333" s="7">
        <v>1800</v>
      </c>
      <c r="E333" s="7">
        <v>2</v>
      </c>
      <c r="F333" s="8">
        <f t="shared" si="135"/>
        <v>17.445333333333334</v>
      </c>
      <c r="G333" s="33">
        <v>471732</v>
      </c>
      <c r="H333" s="7">
        <v>1800</v>
      </c>
      <c r="I333" s="7">
        <v>3</v>
      </c>
      <c r="J333" s="8">
        <f t="shared" si="136"/>
        <v>13.103666666666665</v>
      </c>
      <c r="K333" s="7">
        <v>869215</v>
      </c>
      <c r="L333" s="7">
        <v>846721</v>
      </c>
      <c r="M333" s="7">
        <v>5</v>
      </c>
      <c r="N333" s="75">
        <f t="shared" si="139"/>
        <v>5.1328300585434867</v>
      </c>
      <c r="O333" s="75">
        <f t="shared" si="137"/>
        <v>35.681830058543483</v>
      </c>
      <c r="P333" s="75">
        <f t="shared" si="140"/>
        <v>10.775912677680131</v>
      </c>
      <c r="Q333" s="68">
        <f t="shared" si="138"/>
        <v>36.395466659714351</v>
      </c>
      <c r="R333" s="55">
        <f>9.95*2+1.54*5+1.99*3+3.1+8.65+1.11+3.16*2+1.36*40+1.545*2.5+0.6*2.6+2.83*0.8+3.553*0.61512376+7.9+1.7+0.6+0.675+0.45+1</f>
        <v>129.34703471928</v>
      </c>
      <c r="S333" s="55">
        <v>129.34703471928</v>
      </c>
      <c r="T333" s="78">
        <f>S333*1-10</f>
        <v>119.34703471928</v>
      </c>
      <c r="U333" s="9">
        <f t="shared" si="134"/>
        <v>207.33307417376147</v>
      </c>
      <c r="V333" s="75">
        <f t="shared" si="131"/>
        <v>51.833268543440369</v>
      </c>
      <c r="W333" s="42">
        <v>259</v>
      </c>
      <c r="X333" s="71">
        <v>257.69322087729176</v>
      </c>
      <c r="Y333" s="60">
        <f t="shared" si="142"/>
        <v>1.0050710651923997</v>
      </c>
      <c r="Z333" s="60">
        <f t="shared" si="132"/>
        <v>5.0710651923997485E-3</v>
      </c>
      <c r="AA333" s="14"/>
      <c r="AC333" s="16"/>
      <c r="AD333" s="5"/>
      <c r="AE333" s="5"/>
      <c r="AF333" s="5"/>
      <c r="AG333" s="5"/>
      <c r="AH333" s="5"/>
    </row>
    <row r="334" spans="1:34" s="47" customFormat="1" ht="15" customHeight="1" x14ac:dyDescent="0.2">
      <c r="A334" s="36" t="s">
        <v>913</v>
      </c>
      <c r="B334" s="27" t="s">
        <v>57</v>
      </c>
      <c r="C334" s="21">
        <v>942048</v>
      </c>
      <c r="D334" s="7">
        <v>1800</v>
      </c>
      <c r="E334" s="7">
        <v>6</v>
      </c>
      <c r="F334" s="8">
        <f t="shared" si="135"/>
        <v>52.335999999999999</v>
      </c>
      <c r="G334" s="33">
        <v>471732</v>
      </c>
      <c r="H334" s="7">
        <v>1800</v>
      </c>
      <c r="I334" s="7">
        <v>4</v>
      </c>
      <c r="J334" s="8">
        <f t="shared" si="136"/>
        <v>17.471555555555554</v>
      </c>
      <c r="K334" s="7">
        <v>109500</v>
      </c>
      <c r="L334" s="7">
        <v>846721</v>
      </c>
      <c r="M334" s="7">
        <v>5</v>
      </c>
      <c r="N334" s="75">
        <f t="shared" si="139"/>
        <v>0.64661204812447082</v>
      </c>
      <c r="O334" s="75">
        <f t="shared" si="137"/>
        <v>70.45416760368002</v>
      </c>
      <c r="P334" s="75">
        <f t="shared" si="140"/>
        <v>21.277158616311365</v>
      </c>
      <c r="Q334" s="68">
        <f t="shared" si="138"/>
        <v>71.863250955753628</v>
      </c>
      <c r="R334" s="55">
        <f>9.95*2+1.42+10.5+1.11+1.99*2+3.16*2+6.6</f>
        <v>49.83</v>
      </c>
      <c r="S334" s="55">
        <v>49.83</v>
      </c>
      <c r="T334" s="78">
        <f t="shared" si="141"/>
        <v>49.83</v>
      </c>
      <c r="U334" s="9">
        <f t="shared" si="134"/>
        <v>214.07118922386945</v>
      </c>
      <c r="V334" s="75">
        <f t="shared" si="131"/>
        <v>53.517797305967363</v>
      </c>
      <c r="W334" s="42">
        <v>268</v>
      </c>
      <c r="X334" s="71">
        <v>266.38610652983681</v>
      </c>
      <c r="Y334" s="60">
        <f t="shared" si="142"/>
        <v>1.0060584746373866</v>
      </c>
      <c r="Z334" s="60">
        <f t="shared" si="132"/>
        <v>6.0584746373866238E-3</v>
      </c>
      <c r="AA334" s="14"/>
      <c r="AC334" s="16"/>
      <c r="AD334" s="5"/>
      <c r="AE334" s="5"/>
      <c r="AF334" s="5"/>
      <c r="AG334" s="5"/>
      <c r="AH334" s="5"/>
    </row>
    <row r="335" spans="1:34" s="47" customFormat="1" ht="15" customHeight="1" x14ac:dyDescent="0.2">
      <c r="A335" s="36" t="s">
        <v>863</v>
      </c>
      <c r="B335" s="27" t="s">
        <v>20</v>
      </c>
      <c r="C335" s="21">
        <v>942048</v>
      </c>
      <c r="D335" s="7">
        <v>1800</v>
      </c>
      <c r="E335" s="7">
        <v>5</v>
      </c>
      <c r="F335" s="8">
        <f t="shared" si="135"/>
        <v>43.613333333333337</v>
      </c>
      <c r="G335" s="33">
        <v>471732</v>
      </c>
      <c r="H335" s="7">
        <v>1800</v>
      </c>
      <c r="I335" s="7">
        <v>4</v>
      </c>
      <c r="J335" s="8">
        <f t="shared" si="136"/>
        <v>17.471555555555554</v>
      </c>
      <c r="K335" s="7">
        <v>31000</v>
      </c>
      <c r="L335" s="7">
        <v>846721</v>
      </c>
      <c r="M335" s="7">
        <v>6</v>
      </c>
      <c r="N335" s="75">
        <f t="shared" si="139"/>
        <v>0.21967094237653251</v>
      </c>
      <c r="O335" s="75">
        <f t="shared" si="137"/>
        <v>61.304559831265422</v>
      </c>
      <c r="P335" s="75">
        <f t="shared" si="140"/>
        <v>18.513977069042156</v>
      </c>
      <c r="Q335" s="68">
        <f t="shared" si="138"/>
        <v>62.530651027890734</v>
      </c>
      <c r="R335" s="55">
        <f>9.95+0.57+1.11+1.54+12.27+3.16</f>
        <v>28.599999999999998</v>
      </c>
      <c r="S335" s="55">
        <v>28.599999999999998</v>
      </c>
      <c r="T335" s="78">
        <f t="shared" si="141"/>
        <v>28.599999999999998</v>
      </c>
      <c r="U335" s="9">
        <f t="shared" si="134"/>
        <v>171.16885887057484</v>
      </c>
      <c r="V335" s="75">
        <f t="shared" si="131"/>
        <v>42.792214717643709</v>
      </c>
      <c r="W335" s="42">
        <v>214</v>
      </c>
      <c r="X335" s="71">
        <v>201.07233358821856</v>
      </c>
      <c r="Y335" s="60">
        <f t="shared" si="142"/>
        <v>1.0642936110656396</v>
      </c>
      <c r="Z335" s="60">
        <f t="shared" si="132"/>
        <v>6.4293611065639578E-2</v>
      </c>
      <c r="AA335" s="14"/>
      <c r="AC335" s="16"/>
      <c r="AD335" s="5"/>
      <c r="AE335" s="5"/>
      <c r="AF335" s="5"/>
      <c r="AG335" s="5"/>
      <c r="AH335" s="5"/>
    </row>
    <row r="336" spans="1:34" s="47" customFormat="1" ht="15" customHeight="1" x14ac:dyDescent="0.2">
      <c r="A336" s="36" t="s">
        <v>914</v>
      </c>
      <c r="B336" s="27" t="s">
        <v>21</v>
      </c>
      <c r="C336" s="21">
        <v>942048</v>
      </c>
      <c r="D336" s="7">
        <v>1800</v>
      </c>
      <c r="E336" s="7">
        <v>6</v>
      </c>
      <c r="F336" s="8">
        <f t="shared" si="135"/>
        <v>52.335999999999999</v>
      </c>
      <c r="G336" s="33">
        <v>471732</v>
      </c>
      <c r="H336" s="7">
        <v>1800</v>
      </c>
      <c r="I336" s="7">
        <v>3</v>
      </c>
      <c r="J336" s="8">
        <f t="shared" si="136"/>
        <v>13.103666666666665</v>
      </c>
      <c r="K336" s="7">
        <v>17500</v>
      </c>
      <c r="L336" s="7">
        <v>846721</v>
      </c>
      <c r="M336" s="7">
        <v>8</v>
      </c>
      <c r="N336" s="75">
        <f t="shared" si="139"/>
        <v>0.16534372006835782</v>
      </c>
      <c r="O336" s="75">
        <f t="shared" si="137"/>
        <v>65.605010386735032</v>
      </c>
      <c r="P336" s="75">
        <f t="shared" si="140"/>
        <v>19.812713136793977</v>
      </c>
      <c r="Q336" s="68">
        <f t="shared" si="138"/>
        <v>66.917110594469733</v>
      </c>
      <c r="R336" s="55">
        <f>9.95+1.54*5+1.99*3+3.16*2+1.11+1.7+1.42+12.05*0.025+1.39*4+2.53*4+16.4*0.1+16.9*0.1+11*0.1+0.66*6</f>
        <v>58.541250000000005</v>
      </c>
      <c r="S336" s="55">
        <v>58.541250000000005</v>
      </c>
      <c r="T336" s="78">
        <f t="shared" si="141"/>
        <v>58.541250000000005</v>
      </c>
      <c r="U336" s="9">
        <f t="shared" si="134"/>
        <v>211.04142783806708</v>
      </c>
      <c r="V336" s="75">
        <f t="shared" si="131"/>
        <v>52.76035695951677</v>
      </c>
      <c r="W336" s="42">
        <v>264</v>
      </c>
      <c r="X336" s="71">
        <v>249.80650354758387</v>
      </c>
      <c r="Y336" s="60">
        <f t="shared" si="142"/>
        <v>1.0568179621060687</v>
      </c>
      <c r="Z336" s="60">
        <f t="shared" si="132"/>
        <v>5.6817962106068709E-2</v>
      </c>
      <c r="AA336" s="14"/>
      <c r="AC336" s="16"/>
      <c r="AD336" s="5"/>
      <c r="AE336" s="5"/>
      <c r="AF336" s="5"/>
      <c r="AG336" s="5"/>
      <c r="AH336" s="5"/>
    </row>
    <row r="337" spans="1:34" s="47" customFormat="1" ht="15" customHeight="1" x14ac:dyDescent="0.2">
      <c r="A337" s="36" t="s">
        <v>660</v>
      </c>
      <c r="B337" s="27" t="s">
        <v>827</v>
      </c>
      <c r="C337" s="21">
        <v>942048</v>
      </c>
      <c r="D337" s="7">
        <v>1800</v>
      </c>
      <c r="E337" s="7">
        <v>2</v>
      </c>
      <c r="F337" s="8">
        <f t="shared" si="135"/>
        <v>17.445333333333334</v>
      </c>
      <c r="G337" s="33">
        <v>471732</v>
      </c>
      <c r="H337" s="7">
        <v>1800</v>
      </c>
      <c r="I337" s="7">
        <v>1</v>
      </c>
      <c r="J337" s="8">
        <f t="shared" si="136"/>
        <v>4.3678888888888885</v>
      </c>
      <c r="K337" s="7">
        <v>2070354</v>
      </c>
      <c r="L337" s="7">
        <v>846721</v>
      </c>
      <c r="M337" s="7">
        <v>3</v>
      </c>
      <c r="N337" s="75">
        <f t="shared" si="139"/>
        <v>7.3354292618229611</v>
      </c>
      <c r="O337" s="75">
        <f t="shared" si="137"/>
        <v>29.148651484045182</v>
      </c>
      <c r="P337" s="75">
        <f t="shared" si="140"/>
        <v>8.8028927481816446</v>
      </c>
      <c r="Q337" s="68">
        <f t="shared" si="138"/>
        <v>29.731624513726086</v>
      </c>
      <c r="R337" s="55">
        <f>9.95*2+13.2+1.54*5+9.66+1.54*5+1.11+6.6+1.99*3+3.16*2+1.7+1.99*3</f>
        <v>85.83</v>
      </c>
      <c r="S337" s="55">
        <v>85.83</v>
      </c>
      <c r="T337" s="78">
        <f t="shared" si="141"/>
        <v>85.83</v>
      </c>
      <c r="U337" s="9">
        <f t="shared" si="134"/>
        <v>160.84859800777588</v>
      </c>
      <c r="V337" s="75">
        <f t="shared" si="131"/>
        <v>40.212149501943969</v>
      </c>
      <c r="W337" s="42">
        <v>201</v>
      </c>
      <c r="X337" s="71">
        <v>195.99552622070905</v>
      </c>
      <c r="Y337" s="60">
        <f t="shared" si="142"/>
        <v>1.0255336123012087</v>
      </c>
      <c r="Z337" s="60">
        <f t="shared" si="132"/>
        <v>2.5533612301208652E-2</v>
      </c>
      <c r="AA337" s="14"/>
      <c r="AC337" s="16"/>
      <c r="AD337" s="5"/>
      <c r="AE337" s="5"/>
      <c r="AF337" s="5"/>
      <c r="AG337" s="5"/>
      <c r="AH337" s="5"/>
    </row>
    <row r="338" spans="1:34" s="47" customFormat="1" ht="15" customHeight="1" x14ac:dyDescent="0.2">
      <c r="A338" s="36" t="s">
        <v>661</v>
      </c>
      <c r="B338" s="27" t="s">
        <v>828</v>
      </c>
      <c r="C338" s="21">
        <v>942048</v>
      </c>
      <c r="D338" s="7">
        <v>1800</v>
      </c>
      <c r="E338" s="7">
        <v>2</v>
      </c>
      <c r="F338" s="8">
        <f t="shared" si="135"/>
        <v>17.445333333333334</v>
      </c>
      <c r="G338" s="33">
        <v>471732</v>
      </c>
      <c r="H338" s="7">
        <v>1800</v>
      </c>
      <c r="I338" s="7">
        <v>1</v>
      </c>
      <c r="J338" s="8">
        <f t="shared" si="136"/>
        <v>4.3678888888888885</v>
      </c>
      <c r="K338" s="7">
        <v>2070354</v>
      </c>
      <c r="L338" s="7">
        <v>846721</v>
      </c>
      <c r="M338" s="7">
        <v>3</v>
      </c>
      <c r="N338" s="75">
        <f t="shared" si="139"/>
        <v>7.3354292618229611</v>
      </c>
      <c r="O338" s="75">
        <f t="shared" si="137"/>
        <v>29.148651484045182</v>
      </c>
      <c r="P338" s="75">
        <f t="shared" si="140"/>
        <v>8.8028927481816446</v>
      </c>
      <c r="Q338" s="68">
        <f t="shared" si="138"/>
        <v>29.731624513726086</v>
      </c>
      <c r="R338" s="55">
        <f>9.95*2+13.2+1.54*5+9.66+1.54*5+1.11+6.6+1.99*3+3.16*2+1.7+1.99*3</f>
        <v>85.83</v>
      </c>
      <c r="S338" s="55">
        <v>85.83</v>
      </c>
      <c r="T338" s="78">
        <f>S338*1-5</f>
        <v>80.83</v>
      </c>
      <c r="U338" s="9">
        <f t="shared" si="134"/>
        <v>155.84859800777588</v>
      </c>
      <c r="V338" s="75">
        <f t="shared" si="131"/>
        <v>38.962149501943969</v>
      </c>
      <c r="W338" s="42">
        <v>195</v>
      </c>
      <c r="X338" s="71">
        <v>190.63115122070906</v>
      </c>
      <c r="Y338" s="60">
        <f t="shared" si="142"/>
        <v>1.0229178114453747</v>
      </c>
      <c r="Z338" s="60">
        <f t="shared" si="132"/>
        <v>2.2917811445374747E-2</v>
      </c>
      <c r="AA338" s="14"/>
      <c r="AC338" s="16"/>
      <c r="AD338" s="5"/>
      <c r="AE338" s="5"/>
      <c r="AF338" s="5"/>
      <c r="AG338" s="5"/>
      <c r="AH338" s="5"/>
    </row>
    <row r="339" spans="1:34" s="47" customFormat="1" ht="15" customHeight="1" x14ac:dyDescent="0.2">
      <c r="A339" s="36" t="s">
        <v>662</v>
      </c>
      <c r="B339" s="27" t="s">
        <v>191</v>
      </c>
      <c r="C339" s="21">
        <v>942048</v>
      </c>
      <c r="D339" s="7">
        <v>1800</v>
      </c>
      <c r="E339" s="7">
        <v>1</v>
      </c>
      <c r="F339" s="8">
        <f t="shared" si="135"/>
        <v>8.722666666666667</v>
      </c>
      <c r="G339" s="33">
        <v>471732</v>
      </c>
      <c r="H339" s="7">
        <v>1800</v>
      </c>
      <c r="I339" s="7">
        <v>2</v>
      </c>
      <c r="J339" s="8">
        <f t="shared" si="136"/>
        <v>8.735777777777777</v>
      </c>
      <c r="K339" s="7">
        <v>2070354</v>
      </c>
      <c r="L339" s="7">
        <v>846721</v>
      </c>
      <c r="M339" s="7">
        <v>2</v>
      </c>
      <c r="N339" s="75">
        <f t="shared" si="139"/>
        <v>4.890286174548641</v>
      </c>
      <c r="O339" s="75">
        <f t="shared" si="137"/>
        <v>22.348730618993088</v>
      </c>
      <c r="P339" s="75">
        <f t="shared" si="140"/>
        <v>6.7493166469359123</v>
      </c>
      <c r="Q339" s="68">
        <f t="shared" si="138"/>
        <v>22.795705231372949</v>
      </c>
      <c r="R339" s="55">
        <f>9.95*2+13.2+1.54*5+9.66+1.54*5+1.11+6.6+1.99*3+3.16*2+1.7+1.99*3</f>
        <v>85.83</v>
      </c>
      <c r="S339" s="55">
        <v>85.83</v>
      </c>
      <c r="T339" s="78">
        <f>S339*1-5</f>
        <v>80.83</v>
      </c>
      <c r="U339" s="9">
        <f t="shared" si="134"/>
        <v>137.61403867185058</v>
      </c>
      <c r="V339" s="75">
        <f t="shared" si="131"/>
        <v>34.403509667962645</v>
      </c>
      <c r="W339" s="42">
        <v>172</v>
      </c>
      <c r="X339" s="71">
        <v>171.56428461157216</v>
      </c>
      <c r="Y339" s="60">
        <f t="shared" si="142"/>
        <v>1.0025396625493139</v>
      </c>
      <c r="Z339" s="60">
        <f t="shared" si="132"/>
        <v>2.5396625493139258E-3</v>
      </c>
      <c r="AA339" s="14"/>
      <c r="AC339" s="16"/>
      <c r="AD339" s="5"/>
      <c r="AE339" s="5"/>
      <c r="AF339" s="5"/>
      <c r="AG339" s="5"/>
      <c r="AH339" s="5"/>
    </row>
    <row r="340" spans="1:34" s="47" customFormat="1" ht="15" customHeight="1" x14ac:dyDescent="0.2">
      <c r="A340" s="36" t="s">
        <v>915</v>
      </c>
      <c r="B340" s="27" t="s">
        <v>310</v>
      </c>
      <c r="C340" s="21">
        <v>942048</v>
      </c>
      <c r="D340" s="7">
        <v>1800</v>
      </c>
      <c r="E340" s="7">
        <v>2</v>
      </c>
      <c r="F340" s="8">
        <f t="shared" si="135"/>
        <v>17.445333333333334</v>
      </c>
      <c r="G340" s="33">
        <v>471732</v>
      </c>
      <c r="H340" s="7">
        <v>1800</v>
      </c>
      <c r="I340" s="7">
        <v>3</v>
      </c>
      <c r="J340" s="8">
        <f t="shared" si="136"/>
        <v>13.103666666666665</v>
      </c>
      <c r="K340" s="7">
        <v>2070354</v>
      </c>
      <c r="L340" s="7">
        <v>846721</v>
      </c>
      <c r="M340" s="7">
        <v>3</v>
      </c>
      <c r="N340" s="75">
        <f t="shared" si="139"/>
        <v>7.3354292618229611</v>
      </c>
      <c r="O340" s="75">
        <f t="shared" si="137"/>
        <v>37.884429261822959</v>
      </c>
      <c r="P340" s="75">
        <f t="shared" si="140"/>
        <v>11.441097637070532</v>
      </c>
      <c r="Q340" s="68">
        <f t="shared" si="138"/>
        <v>38.642117847059417</v>
      </c>
      <c r="R340" s="55">
        <f>9.95*2+13.2+1.54*5+9.66+1.54*5+1.11+6.6+1.99*3+3.16*2+1.7+1.99*3</f>
        <v>85.83</v>
      </c>
      <c r="S340" s="55">
        <v>85.83</v>
      </c>
      <c r="T340" s="78">
        <f>S340*1-5</f>
        <v>80.83</v>
      </c>
      <c r="U340" s="9">
        <f t="shared" si="134"/>
        <v>176.13307400777586</v>
      </c>
      <c r="V340" s="75">
        <f t="shared" si="131"/>
        <v>44.033268501943965</v>
      </c>
      <c r="W340" s="42">
        <v>220</v>
      </c>
      <c r="X340" s="71">
        <v>212.83463122070907</v>
      </c>
      <c r="Y340" s="60">
        <f t="shared" si="142"/>
        <v>1.0336663668792718</v>
      </c>
      <c r="Z340" s="60">
        <f t="shared" si="132"/>
        <v>3.3666366879271825E-2</v>
      </c>
      <c r="AA340" s="14"/>
      <c r="AC340" s="16"/>
      <c r="AD340" s="5"/>
      <c r="AE340" s="5"/>
      <c r="AF340" s="5"/>
      <c r="AG340" s="5"/>
      <c r="AH340" s="5"/>
    </row>
    <row r="341" spans="1:34" s="47" customFormat="1" ht="15" customHeight="1" x14ac:dyDescent="0.2">
      <c r="A341" s="36" t="s">
        <v>663</v>
      </c>
      <c r="B341" s="27" t="s">
        <v>311</v>
      </c>
      <c r="C341" s="21">
        <v>942048</v>
      </c>
      <c r="D341" s="7">
        <v>1800</v>
      </c>
      <c r="E341" s="7">
        <v>2</v>
      </c>
      <c r="F341" s="8">
        <f t="shared" si="135"/>
        <v>17.445333333333334</v>
      </c>
      <c r="G341" s="33">
        <v>471732</v>
      </c>
      <c r="H341" s="7">
        <v>1800</v>
      </c>
      <c r="I341" s="7">
        <v>3</v>
      </c>
      <c r="J341" s="8">
        <f>G341/H341/60*I341</f>
        <v>13.103666666666665</v>
      </c>
      <c r="K341" s="7">
        <v>2070354</v>
      </c>
      <c r="L341" s="7">
        <v>846721</v>
      </c>
      <c r="M341" s="7">
        <v>3</v>
      </c>
      <c r="N341" s="75">
        <f>K341/L341*M341</f>
        <v>7.3354292618229611</v>
      </c>
      <c r="O341" s="75">
        <f>F341+J341+N341</f>
        <v>37.884429261822959</v>
      </c>
      <c r="P341" s="75">
        <f>O341*0.302</f>
        <v>11.441097637070532</v>
      </c>
      <c r="Q341" s="68">
        <f t="shared" si="138"/>
        <v>38.642117847059417</v>
      </c>
      <c r="R341" s="55">
        <f>9.95*2+13.2+1.54*5+9.66+1.54*5+1.11+6.6+1.99*3+3.16*2+1.7+1.99*3</f>
        <v>85.83</v>
      </c>
      <c r="S341" s="55">
        <v>85.83</v>
      </c>
      <c r="T341" s="78">
        <f>S341*1-5</f>
        <v>80.83</v>
      </c>
      <c r="U341" s="9">
        <f t="shared" si="134"/>
        <v>176.13307400777586</v>
      </c>
      <c r="V341" s="75">
        <f>U341*25%</f>
        <v>44.033268501943965</v>
      </c>
      <c r="W341" s="42">
        <v>220</v>
      </c>
      <c r="X341" s="71">
        <v>212.83463122070907</v>
      </c>
      <c r="Y341" s="60">
        <f t="shared" si="142"/>
        <v>1.0336663668792718</v>
      </c>
      <c r="Z341" s="60">
        <f t="shared" si="132"/>
        <v>3.3666366879271825E-2</v>
      </c>
      <c r="AA341" s="14"/>
      <c r="AC341" s="16"/>
      <c r="AD341" s="5"/>
      <c r="AE341" s="5"/>
      <c r="AF341" s="5"/>
      <c r="AG341" s="5"/>
      <c r="AH341" s="5"/>
    </row>
    <row r="342" spans="1:34" s="47" customFormat="1" ht="15" customHeight="1" x14ac:dyDescent="0.2">
      <c r="A342" s="36" t="s">
        <v>916</v>
      </c>
      <c r="B342" s="27" t="s">
        <v>192</v>
      </c>
      <c r="C342" s="21">
        <v>942048</v>
      </c>
      <c r="D342" s="7">
        <v>1800</v>
      </c>
      <c r="E342" s="7">
        <v>4</v>
      </c>
      <c r="F342" s="8">
        <f t="shared" si="135"/>
        <v>34.890666666666668</v>
      </c>
      <c r="G342" s="33">
        <v>471732</v>
      </c>
      <c r="H342" s="7">
        <v>1800</v>
      </c>
      <c r="I342" s="7">
        <v>1</v>
      </c>
      <c r="J342" s="8">
        <f t="shared" si="136"/>
        <v>4.3678888888888885</v>
      </c>
      <c r="K342" s="7">
        <v>2070354</v>
      </c>
      <c r="L342" s="7">
        <v>846721</v>
      </c>
      <c r="M342" s="7">
        <v>3</v>
      </c>
      <c r="N342" s="75">
        <f t="shared" si="139"/>
        <v>7.3354292618229611</v>
      </c>
      <c r="O342" s="75">
        <f t="shared" si="137"/>
        <v>46.593984817378519</v>
      </c>
      <c r="P342" s="75">
        <f t="shared" si="140"/>
        <v>14.071383414848313</v>
      </c>
      <c r="Q342" s="68">
        <f t="shared" si="138"/>
        <v>47.525864513726091</v>
      </c>
      <c r="R342" s="55">
        <f>9.95*2+13.2+1.54*6+9.66+1.54*5+1.11+6.6+1.99*3+3.16*2+1.7+1.99*3</f>
        <v>87.36999999999999</v>
      </c>
      <c r="S342" s="55">
        <v>87.36999999999999</v>
      </c>
      <c r="T342" s="78">
        <f>S342*1-20</f>
        <v>67.36999999999999</v>
      </c>
      <c r="U342" s="9">
        <f t="shared" si="134"/>
        <v>182.89666200777589</v>
      </c>
      <c r="V342" s="75">
        <f t="shared" si="131"/>
        <v>45.724165501943972</v>
      </c>
      <c r="W342" s="42">
        <v>229</v>
      </c>
      <c r="X342" s="71">
        <v>225.17911622070903</v>
      </c>
      <c r="Y342" s="60">
        <f t="shared" si="142"/>
        <v>1.0169681977770351</v>
      </c>
      <c r="Z342" s="60">
        <f t="shared" si="132"/>
        <v>1.6968197777035066E-2</v>
      </c>
      <c r="AA342" s="14"/>
      <c r="AC342" s="16"/>
      <c r="AD342" s="5"/>
      <c r="AE342" s="5"/>
      <c r="AF342" s="5"/>
      <c r="AG342" s="5"/>
      <c r="AH342" s="5"/>
    </row>
    <row r="343" spans="1:34" s="47" customFormat="1" ht="15" customHeight="1" x14ac:dyDescent="0.2">
      <c r="A343" s="36" t="s">
        <v>664</v>
      </c>
      <c r="B343" s="27" t="s">
        <v>193</v>
      </c>
      <c r="C343" s="21">
        <v>942048</v>
      </c>
      <c r="D343" s="7">
        <v>1800</v>
      </c>
      <c r="E343" s="7">
        <v>2</v>
      </c>
      <c r="F343" s="8">
        <f t="shared" si="135"/>
        <v>17.445333333333334</v>
      </c>
      <c r="G343" s="33">
        <v>471732</v>
      </c>
      <c r="H343" s="7">
        <v>1800</v>
      </c>
      <c r="I343" s="7">
        <v>3</v>
      </c>
      <c r="J343" s="8">
        <f t="shared" si="136"/>
        <v>13.103666666666665</v>
      </c>
      <c r="K343" s="7">
        <v>2070354</v>
      </c>
      <c r="L343" s="7">
        <v>846721</v>
      </c>
      <c r="M343" s="7">
        <v>5</v>
      </c>
      <c r="N343" s="75">
        <f t="shared" si="139"/>
        <v>12.225715436371603</v>
      </c>
      <c r="O343" s="75">
        <f t="shared" si="137"/>
        <v>42.774715436371601</v>
      </c>
      <c r="P343" s="75">
        <f t="shared" si="140"/>
        <v>12.917964061784224</v>
      </c>
      <c r="Q343" s="68">
        <f t="shared" si="138"/>
        <v>43.63020974509903</v>
      </c>
      <c r="R343" s="55">
        <f>9.95*2+13.2+1.54*5+9.66+1.54+1.11+0.66*3+1.99*3+1.54*2+1.7</f>
        <v>65.839999999999989</v>
      </c>
      <c r="S343" s="55">
        <v>65.839999999999989</v>
      </c>
      <c r="T343" s="78">
        <f t="shared" si="141"/>
        <v>65.839999999999989</v>
      </c>
      <c r="U343" s="9">
        <f t="shared" si="134"/>
        <v>177.38860467962644</v>
      </c>
      <c r="V343" s="75">
        <f t="shared" si="131"/>
        <v>44.34715116990661</v>
      </c>
      <c r="W343" s="42">
        <v>222</v>
      </c>
      <c r="X343" s="71">
        <v>219.09968036784846</v>
      </c>
      <c r="Y343" s="60">
        <f t="shared" si="142"/>
        <v>1.0132374434653768</v>
      </c>
      <c r="Z343" s="60">
        <f t="shared" si="132"/>
        <v>1.3237443465376808E-2</v>
      </c>
      <c r="AA343" s="14"/>
      <c r="AC343" s="16"/>
      <c r="AD343" s="5"/>
      <c r="AE343" s="5"/>
      <c r="AF343" s="5"/>
      <c r="AG343" s="5"/>
      <c r="AH343" s="5"/>
    </row>
    <row r="344" spans="1:34" s="47" customFormat="1" ht="15" customHeight="1" x14ac:dyDescent="0.2">
      <c r="A344" s="36" t="s">
        <v>917</v>
      </c>
      <c r="B344" s="27" t="s">
        <v>194</v>
      </c>
      <c r="C344" s="21">
        <v>942048</v>
      </c>
      <c r="D344" s="7">
        <v>1800</v>
      </c>
      <c r="E344" s="7">
        <v>2</v>
      </c>
      <c r="F344" s="8">
        <f t="shared" si="135"/>
        <v>17.445333333333334</v>
      </c>
      <c r="G344" s="33">
        <v>471732</v>
      </c>
      <c r="H344" s="7">
        <v>1800</v>
      </c>
      <c r="I344" s="7">
        <v>0</v>
      </c>
      <c r="J344" s="8">
        <f t="shared" si="136"/>
        <v>0</v>
      </c>
      <c r="K344" s="7">
        <v>2070354</v>
      </c>
      <c r="L344" s="7">
        <v>846721</v>
      </c>
      <c r="M344" s="7">
        <v>3</v>
      </c>
      <c r="N344" s="75">
        <f t="shared" si="139"/>
        <v>7.3354292618229611</v>
      </c>
      <c r="O344" s="75">
        <f t="shared" si="137"/>
        <v>24.780762595156297</v>
      </c>
      <c r="P344" s="75">
        <f t="shared" si="140"/>
        <v>7.4837903037372016</v>
      </c>
      <c r="Q344" s="68">
        <f t="shared" si="138"/>
        <v>25.276377847059422</v>
      </c>
      <c r="R344" s="55">
        <f>9.95*2+13.2+1.54*5+9.66+1.54*11+1.11+6.6+1.99*3+3.16*2+1.7+1.99*3</f>
        <v>95.069999999999979</v>
      </c>
      <c r="S344" s="55">
        <v>95.069999999999979</v>
      </c>
      <c r="T344" s="78">
        <f t="shared" si="141"/>
        <v>95.069999999999979</v>
      </c>
      <c r="U344" s="9">
        <f t="shared" si="134"/>
        <v>159.94636000777587</v>
      </c>
      <c r="V344" s="75">
        <f t="shared" si="131"/>
        <v>39.986590001943966</v>
      </c>
      <c r="W344" s="42">
        <v>200</v>
      </c>
      <c r="X344" s="71">
        <v>194.50677622070907</v>
      </c>
      <c r="Y344" s="60">
        <f t="shared" si="142"/>
        <v>1.0282418118588204</v>
      </c>
      <c r="Z344" s="60">
        <f t="shared" si="132"/>
        <v>2.8241811858820354E-2</v>
      </c>
      <c r="AA344" s="14"/>
      <c r="AC344" s="16"/>
      <c r="AD344" s="5"/>
      <c r="AE344" s="5"/>
      <c r="AF344" s="5"/>
      <c r="AG344" s="5"/>
      <c r="AH344" s="5"/>
    </row>
    <row r="345" spans="1:34" s="47" customFormat="1" ht="15" customHeight="1" x14ac:dyDescent="0.2">
      <c r="A345" s="36" t="s">
        <v>665</v>
      </c>
      <c r="B345" s="27" t="s">
        <v>209</v>
      </c>
      <c r="C345" s="21">
        <v>942048</v>
      </c>
      <c r="D345" s="7">
        <v>1800</v>
      </c>
      <c r="E345" s="7">
        <v>3</v>
      </c>
      <c r="F345" s="8">
        <f t="shared" si="135"/>
        <v>26.167999999999999</v>
      </c>
      <c r="G345" s="33">
        <v>471732</v>
      </c>
      <c r="H345" s="7">
        <v>1800</v>
      </c>
      <c r="I345" s="7">
        <v>3</v>
      </c>
      <c r="J345" s="8">
        <f t="shared" si="136"/>
        <v>13.103666666666665</v>
      </c>
      <c r="K345" s="7">
        <v>18000</v>
      </c>
      <c r="L345" s="7">
        <v>846721</v>
      </c>
      <c r="M345" s="7">
        <v>5</v>
      </c>
      <c r="N345" s="75">
        <f t="shared" si="139"/>
        <v>0.10629239147251573</v>
      </c>
      <c r="O345" s="75">
        <f t="shared" si="137"/>
        <v>39.377959058139176</v>
      </c>
      <c r="P345" s="75">
        <f t="shared" si="140"/>
        <v>11.89214363555803</v>
      </c>
      <c r="Q345" s="68">
        <f t="shared" si="138"/>
        <v>40.16551823930196</v>
      </c>
      <c r="R345" s="55">
        <f>9.95*2+13.2+1.54*5+9.66+1.11+0.66*3+1.99*3+3.16*2+1.7</f>
        <v>67.539999999999992</v>
      </c>
      <c r="S345" s="55">
        <v>67.539999999999992</v>
      </c>
      <c r="T345" s="78">
        <f t="shared" si="141"/>
        <v>67.539999999999992</v>
      </c>
      <c r="U345" s="9">
        <f t="shared" si="134"/>
        <v>159.08191332447166</v>
      </c>
      <c r="V345" s="75">
        <f t="shared" si="131"/>
        <v>39.770478331117914</v>
      </c>
      <c r="W345" s="42">
        <v>199</v>
      </c>
      <c r="X345" s="71">
        <v>197.21744915558961</v>
      </c>
      <c r="Y345" s="60">
        <f t="shared" si="142"/>
        <v>1.0090385047167105</v>
      </c>
      <c r="Z345" s="60">
        <f t="shared" si="132"/>
        <v>9.038504716710527E-3</v>
      </c>
      <c r="AA345" s="14"/>
      <c r="AC345" s="16"/>
      <c r="AD345" s="5"/>
      <c r="AE345" s="5"/>
      <c r="AF345" s="5"/>
      <c r="AG345" s="5"/>
      <c r="AH345" s="5"/>
    </row>
    <row r="346" spans="1:34" s="47" customFormat="1" ht="15" customHeight="1" x14ac:dyDescent="0.2">
      <c r="A346" s="36" t="s">
        <v>666</v>
      </c>
      <c r="B346" s="27" t="s">
        <v>195</v>
      </c>
      <c r="C346" s="21">
        <v>942048</v>
      </c>
      <c r="D346" s="7">
        <v>1800</v>
      </c>
      <c r="E346" s="7">
        <v>4</v>
      </c>
      <c r="F346" s="8">
        <f t="shared" si="135"/>
        <v>34.890666666666668</v>
      </c>
      <c r="G346" s="33">
        <v>471732</v>
      </c>
      <c r="H346" s="7">
        <v>1800</v>
      </c>
      <c r="I346" s="7">
        <v>2</v>
      </c>
      <c r="J346" s="8">
        <f t="shared" si="136"/>
        <v>8.735777777777777</v>
      </c>
      <c r="K346" s="7">
        <v>18000</v>
      </c>
      <c r="L346" s="7">
        <v>846721</v>
      </c>
      <c r="M346" s="7">
        <v>5</v>
      </c>
      <c r="N346" s="75">
        <f t="shared" si="139"/>
        <v>0.10629239147251573</v>
      </c>
      <c r="O346" s="75">
        <f t="shared" si="137"/>
        <v>43.73273683591696</v>
      </c>
      <c r="P346" s="75">
        <f t="shared" si="140"/>
        <v>13.207286524446921</v>
      </c>
      <c r="Q346" s="68">
        <f t="shared" si="138"/>
        <v>44.607391572635301</v>
      </c>
      <c r="R346" s="55">
        <f>9.95*2+13.2+1.54*5+9.66+1.11+0.66+1.99*3+1.54*2+1.7</f>
        <v>62.97999999999999</v>
      </c>
      <c r="S346" s="55">
        <v>62.97999999999999</v>
      </c>
      <c r="T346" s="78">
        <f t="shared" si="141"/>
        <v>62.97999999999999</v>
      </c>
      <c r="U346" s="9">
        <f t="shared" si="134"/>
        <v>164.63370732447169</v>
      </c>
      <c r="V346" s="75">
        <f t="shared" si="131"/>
        <v>41.158426831117922</v>
      </c>
      <c r="W346" s="42">
        <v>206</v>
      </c>
      <c r="X346" s="71">
        <v>203.75918915558964</v>
      </c>
      <c r="Y346" s="60">
        <f t="shared" si="142"/>
        <v>1.0109973486530675</v>
      </c>
      <c r="Z346" s="60">
        <f t="shared" si="132"/>
        <v>1.0997348653067451E-2</v>
      </c>
      <c r="AA346" s="14"/>
      <c r="AC346" s="16"/>
      <c r="AD346" s="5"/>
      <c r="AE346" s="5"/>
      <c r="AF346" s="5"/>
      <c r="AG346" s="5"/>
      <c r="AH346" s="5"/>
    </row>
    <row r="347" spans="1:34" s="47" customFormat="1" ht="15" customHeight="1" x14ac:dyDescent="0.2">
      <c r="A347" s="36" t="s">
        <v>667</v>
      </c>
      <c r="B347" s="27" t="s">
        <v>196</v>
      </c>
      <c r="C347" s="21">
        <v>942048</v>
      </c>
      <c r="D347" s="7">
        <v>1800</v>
      </c>
      <c r="E347" s="7">
        <v>2</v>
      </c>
      <c r="F347" s="8">
        <f t="shared" si="135"/>
        <v>17.445333333333334</v>
      </c>
      <c r="G347" s="33">
        <v>471732</v>
      </c>
      <c r="H347" s="7">
        <v>1800</v>
      </c>
      <c r="I347" s="7">
        <v>3</v>
      </c>
      <c r="J347" s="8">
        <f t="shared" si="136"/>
        <v>13.103666666666665</v>
      </c>
      <c r="K347" s="7">
        <v>2070354</v>
      </c>
      <c r="L347" s="7">
        <v>846721</v>
      </c>
      <c r="M347" s="7">
        <v>3</v>
      </c>
      <c r="N347" s="75">
        <f t="shared" si="139"/>
        <v>7.3354292618229611</v>
      </c>
      <c r="O347" s="75">
        <f t="shared" si="137"/>
        <v>37.884429261822959</v>
      </c>
      <c r="P347" s="75">
        <f t="shared" si="140"/>
        <v>11.441097637070532</v>
      </c>
      <c r="Q347" s="68">
        <f t="shared" si="138"/>
        <v>38.642117847059417</v>
      </c>
      <c r="R347" s="55">
        <f>9.95*2+13.2+1.54*5+9.66+1.54+1.11+0.66+6.6+1.99*3+1.54*2+1.7</f>
        <v>71.11999999999999</v>
      </c>
      <c r="S347" s="55">
        <v>71.11999999999999</v>
      </c>
      <c r="T347" s="78">
        <f t="shared" si="141"/>
        <v>71.11999999999999</v>
      </c>
      <c r="U347" s="9">
        <f t="shared" si="134"/>
        <v>166.42307400777588</v>
      </c>
      <c r="V347" s="75">
        <f t="shared" si="131"/>
        <v>41.60576850194397</v>
      </c>
      <c r="W347" s="42">
        <v>208</v>
      </c>
      <c r="X347" s="71">
        <v>201.65025622070908</v>
      </c>
      <c r="Y347" s="60">
        <f t="shared" si="142"/>
        <v>1.0314888951707606</v>
      </c>
      <c r="Z347" s="60">
        <f t="shared" si="132"/>
        <v>3.1488895170760589E-2</v>
      </c>
      <c r="AA347" s="14"/>
      <c r="AC347" s="16"/>
      <c r="AD347" s="5"/>
      <c r="AE347" s="5"/>
      <c r="AF347" s="5"/>
      <c r="AG347" s="5"/>
      <c r="AH347" s="5"/>
    </row>
    <row r="348" spans="1:34" s="47" customFormat="1" ht="15" customHeight="1" x14ac:dyDescent="0.2">
      <c r="A348" s="36" t="s">
        <v>668</v>
      </c>
      <c r="B348" s="27" t="s">
        <v>197</v>
      </c>
      <c r="C348" s="21">
        <v>942048</v>
      </c>
      <c r="D348" s="7">
        <v>1800</v>
      </c>
      <c r="E348" s="7">
        <v>2</v>
      </c>
      <c r="F348" s="8">
        <f t="shared" si="135"/>
        <v>17.445333333333334</v>
      </c>
      <c r="G348" s="33">
        <v>471732</v>
      </c>
      <c r="H348" s="7">
        <v>1800</v>
      </c>
      <c r="I348" s="7">
        <v>1</v>
      </c>
      <c r="J348" s="8">
        <f t="shared" si="136"/>
        <v>4.3678888888888885</v>
      </c>
      <c r="K348" s="7">
        <v>2070354</v>
      </c>
      <c r="L348" s="7">
        <v>846721</v>
      </c>
      <c r="M348" s="7">
        <v>3</v>
      </c>
      <c r="N348" s="75">
        <f t="shared" si="139"/>
        <v>7.3354292618229611</v>
      </c>
      <c r="O348" s="75">
        <f t="shared" si="137"/>
        <v>29.148651484045182</v>
      </c>
      <c r="P348" s="75">
        <f t="shared" si="140"/>
        <v>8.8028927481816446</v>
      </c>
      <c r="Q348" s="68">
        <f t="shared" si="138"/>
        <v>29.731624513726086</v>
      </c>
      <c r="R348" s="55">
        <f>9.95*2+13.2+1.54*5+9.66+1.54*5+1.11+6.6+1.99*3+3.16*2+1.7+1.99*3</f>
        <v>85.83</v>
      </c>
      <c r="S348" s="55">
        <v>85.83</v>
      </c>
      <c r="T348" s="78">
        <f t="shared" si="141"/>
        <v>85.83</v>
      </c>
      <c r="U348" s="9">
        <f t="shared" si="134"/>
        <v>160.84859800777588</v>
      </c>
      <c r="V348" s="75">
        <f t="shared" si="131"/>
        <v>40.212149501943969</v>
      </c>
      <c r="W348" s="42">
        <v>201</v>
      </c>
      <c r="X348" s="71">
        <v>195.99552622070905</v>
      </c>
      <c r="Y348" s="60">
        <f t="shared" si="142"/>
        <v>1.0255336123012087</v>
      </c>
      <c r="Z348" s="60">
        <f t="shared" si="132"/>
        <v>2.5533612301208652E-2</v>
      </c>
      <c r="AA348" s="14"/>
      <c r="AC348" s="16"/>
      <c r="AD348" s="5"/>
      <c r="AE348" s="5"/>
      <c r="AF348" s="5"/>
      <c r="AG348" s="5"/>
      <c r="AH348" s="5"/>
    </row>
    <row r="349" spans="1:34" s="47" customFormat="1" ht="15" customHeight="1" x14ac:dyDescent="0.2">
      <c r="A349" s="36" t="s">
        <v>669</v>
      </c>
      <c r="B349" s="27" t="s">
        <v>210</v>
      </c>
      <c r="C349" s="21">
        <v>942048</v>
      </c>
      <c r="D349" s="7">
        <v>1800</v>
      </c>
      <c r="E349" s="7">
        <v>2</v>
      </c>
      <c r="F349" s="8">
        <f t="shared" si="135"/>
        <v>17.445333333333334</v>
      </c>
      <c r="G349" s="33">
        <v>471732</v>
      </c>
      <c r="H349" s="7">
        <v>1800</v>
      </c>
      <c r="I349" s="7">
        <v>4</v>
      </c>
      <c r="J349" s="8">
        <f t="shared" si="136"/>
        <v>17.471555555555554</v>
      </c>
      <c r="K349" s="7">
        <v>2070354</v>
      </c>
      <c r="L349" s="7">
        <v>846721</v>
      </c>
      <c r="M349" s="7">
        <v>4</v>
      </c>
      <c r="N349" s="75">
        <f t="shared" si="139"/>
        <v>9.780572349097282</v>
      </c>
      <c r="O349" s="75">
        <f t="shared" si="137"/>
        <v>44.697461237986175</v>
      </c>
      <c r="P349" s="75">
        <f t="shared" si="140"/>
        <v>13.498633293871825</v>
      </c>
      <c r="Q349" s="68">
        <f t="shared" si="138"/>
        <v>45.591410462745898</v>
      </c>
      <c r="R349" s="55">
        <f>9.95*2+13.2+1.54*5+9.66+1.54*7+1.11+1.99*3+1.54*2+1.7+2+3.16</f>
        <v>78.259999999999991</v>
      </c>
      <c r="S349" s="55">
        <v>78.259999999999991</v>
      </c>
      <c r="T349" s="78">
        <f t="shared" si="141"/>
        <v>78.259999999999991</v>
      </c>
      <c r="U349" s="9">
        <f t="shared" si="134"/>
        <v>191.82807734370118</v>
      </c>
      <c r="V349" s="75">
        <f t="shared" si="131"/>
        <v>47.957019335925295</v>
      </c>
      <c r="W349" s="42">
        <v>240</v>
      </c>
      <c r="X349" s="71">
        <v>231.04333829427873</v>
      </c>
      <c r="Y349" s="60">
        <f t="shared" si="142"/>
        <v>1.0387661543147946</v>
      </c>
      <c r="Z349" s="60">
        <f t="shared" si="132"/>
        <v>3.8766154314794576E-2</v>
      </c>
      <c r="AA349" s="14"/>
      <c r="AC349" s="16"/>
      <c r="AD349" s="5"/>
      <c r="AE349" s="5"/>
      <c r="AF349" s="5"/>
      <c r="AG349" s="5"/>
      <c r="AH349" s="5"/>
    </row>
    <row r="350" spans="1:34" s="47" customFormat="1" ht="15" customHeight="1" x14ac:dyDescent="0.2">
      <c r="A350" s="36" t="s">
        <v>670</v>
      </c>
      <c r="B350" s="27" t="s">
        <v>763</v>
      </c>
      <c r="C350" s="21">
        <v>942048</v>
      </c>
      <c r="D350" s="7">
        <v>1800</v>
      </c>
      <c r="E350" s="7">
        <v>2</v>
      </c>
      <c r="F350" s="8">
        <f t="shared" si="135"/>
        <v>17.445333333333334</v>
      </c>
      <c r="G350" s="33">
        <v>471732</v>
      </c>
      <c r="H350" s="7">
        <v>1800</v>
      </c>
      <c r="I350" s="7">
        <v>4</v>
      </c>
      <c r="J350" s="8">
        <f>G350/H350/60*I350</f>
        <v>17.471555555555554</v>
      </c>
      <c r="K350" s="7">
        <v>2070354</v>
      </c>
      <c r="L350" s="7">
        <v>846721</v>
      </c>
      <c r="M350" s="7">
        <v>4</v>
      </c>
      <c r="N350" s="75">
        <f>K350/L350*M350</f>
        <v>9.780572349097282</v>
      </c>
      <c r="O350" s="75">
        <f>F350+J350+N350</f>
        <v>44.697461237986175</v>
      </c>
      <c r="P350" s="75">
        <f>O350*0.302</f>
        <v>13.498633293871825</v>
      </c>
      <c r="Q350" s="68">
        <f>(O350)*102%</f>
        <v>45.591410462745898</v>
      </c>
      <c r="R350" s="55">
        <f>9.95*2+13.2+1.54*5+9.66+1.54*7+1.11+37+1.99*3+1.54*2+1.7+2+3.16</f>
        <v>115.25999999999999</v>
      </c>
      <c r="S350" s="55">
        <v>115.25999999999999</v>
      </c>
      <c r="T350" s="78">
        <f t="shared" si="141"/>
        <v>115.25999999999999</v>
      </c>
      <c r="U350" s="9">
        <f t="shared" si="134"/>
        <v>228.82807734370118</v>
      </c>
      <c r="V350" s="75">
        <f>U350*25%</f>
        <v>57.207019335925295</v>
      </c>
      <c r="W350" s="42">
        <v>286</v>
      </c>
      <c r="X350" s="71">
        <v>287.07583829427875</v>
      </c>
      <c r="Y350" s="60">
        <f t="shared" si="142"/>
        <v>0.99625242479244835</v>
      </c>
      <c r="Z350" s="60">
        <f t="shared" si="132"/>
        <v>-3.7475752075516455E-3</v>
      </c>
      <c r="AA350" s="14"/>
      <c r="AC350" s="16"/>
      <c r="AD350" s="5"/>
      <c r="AE350" s="5"/>
      <c r="AF350" s="5"/>
      <c r="AG350" s="5"/>
      <c r="AH350" s="5"/>
    </row>
    <row r="351" spans="1:34" s="47" customFormat="1" ht="15" customHeight="1" x14ac:dyDescent="0.2">
      <c r="A351" s="36" t="s">
        <v>671</v>
      </c>
      <c r="B351" s="27" t="s">
        <v>198</v>
      </c>
      <c r="C351" s="21">
        <v>942048</v>
      </c>
      <c r="D351" s="7">
        <v>1800</v>
      </c>
      <c r="E351" s="7">
        <v>4</v>
      </c>
      <c r="F351" s="8">
        <f t="shared" si="135"/>
        <v>34.890666666666668</v>
      </c>
      <c r="G351" s="33">
        <v>471732</v>
      </c>
      <c r="H351" s="7">
        <v>1800</v>
      </c>
      <c r="I351" s="7">
        <v>2</v>
      </c>
      <c r="J351" s="8">
        <f t="shared" si="136"/>
        <v>8.735777777777777</v>
      </c>
      <c r="K351" s="7">
        <v>2070354</v>
      </c>
      <c r="L351" s="7">
        <v>846721</v>
      </c>
      <c r="M351" s="7">
        <v>6</v>
      </c>
      <c r="N351" s="75">
        <f t="shared" si="139"/>
        <v>14.670858523645922</v>
      </c>
      <c r="O351" s="75">
        <f t="shared" si="137"/>
        <v>58.297302968090364</v>
      </c>
      <c r="P351" s="75">
        <f t="shared" si="140"/>
        <v>17.605785496363289</v>
      </c>
      <c r="Q351" s="68">
        <f t="shared" si="138"/>
        <v>59.463249027452171</v>
      </c>
      <c r="R351" s="55">
        <f>9.95*2+13.2+1.54*5+9.66+1.54*4+1.11+0.6+1.99*3+3.16*2+1.7+10</f>
        <v>82.320000000000007</v>
      </c>
      <c r="S351" s="55">
        <v>82.320000000000007</v>
      </c>
      <c r="T351" s="78">
        <f t="shared" si="141"/>
        <v>82.320000000000007</v>
      </c>
      <c r="U351" s="9">
        <f t="shared" si="134"/>
        <v>232.35719601555178</v>
      </c>
      <c r="V351" s="75">
        <f t="shared" si="131"/>
        <v>58.089299003887945</v>
      </c>
      <c r="W351" s="42">
        <v>290</v>
      </c>
      <c r="X351" s="71">
        <v>284.2108624414181</v>
      </c>
      <c r="Y351" s="60">
        <f t="shared" si="142"/>
        <v>1.02036916361624</v>
      </c>
      <c r="Z351" s="60">
        <f t="shared" si="132"/>
        <v>2.0369163616239971E-2</v>
      </c>
      <c r="AA351" s="14"/>
      <c r="AC351" s="16"/>
      <c r="AD351" s="5"/>
      <c r="AE351" s="5"/>
      <c r="AF351" s="5"/>
      <c r="AG351" s="5"/>
      <c r="AH351" s="5"/>
    </row>
    <row r="352" spans="1:34" s="47" customFormat="1" ht="15" customHeight="1" x14ac:dyDescent="0.2">
      <c r="A352" s="36" t="s">
        <v>672</v>
      </c>
      <c r="B352" s="27" t="s">
        <v>212</v>
      </c>
      <c r="C352" s="21">
        <v>942048</v>
      </c>
      <c r="D352" s="7">
        <v>1800</v>
      </c>
      <c r="E352" s="7">
        <v>3</v>
      </c>
      <c r="F352" s="8">
        <f t="shared" si="135"/>
        <v>26.167999999999999</v>
      </c>
      <c r="G352" s="33">
        <v>471732</v>
      </c>
      <c r="H352" s="7">
        <v>1800</v>
      </c>
      <c r="I352" s="7">
        <v>5</v>
      </c>
      <c r="J352" s="8">
        <f t="shared" si="136"/>
        <v>21.839444444444442</v>
      </c>
      <c r="K352" s="7">
        <v>2070354</v>
      </c>
      <c r="L352" s="7">
        <v>846721</v>
      </c>
      <c r="M352" s="7">
        <v>6</v>
      </c>
      <c r="N352" s="75">
        <f t="shared" si="139"/>
        <v>14.670858523645922</v>
      </c>
      <c r="O352" s="75">
        <f t="shared" si="137"/>
        <v>62.678302968090364</v>
      </c>
      <c r="P352" s="75">
        <f t="shared" si="140"/>
        <v>18.928847496363289</v>
      </c>
      <c r="Q352" s="68">
        <f t="shared" si="138"/>
        <v>63.931869027452173</v>
      </c>
      <c r="R352" s="55">
        <f>13.2+1.54*5+9.66+1.54*9+1.11+6.6+0.6*3+1.99*3+3.16*2+1.7+5</f>
        <v>72.92</v>
      </c>
      <c r="S352" s="55">
        <v>72.92</v>
      </c>
      <c r="T352" s="78">
        <f t="shared" si="141"/>
        <v>72.92</v>
      </c>
      <c r="U352" s="9">
        <f t="shared" si="134"/>
        <v>233.12987801555175</v>
      </c>
      <c r="V352" s="75">
        <f t="shared" si="131"/>
        <v>58.282469503887938</v>
      </c>
      <c r="W352" s="42">
        <v>291</v>
      </c>
      <c r="X352" s="71">
        <v>277.82817244141819</v>
      </c>
      <c r="Y352" s="60">
        <f t="shared" si="142"/>
        <v>1.0474099780552644</v>
      </c>
      <c r="Z352" s="60">
        <f t="shared" si="132"/>
        <v>4.7409978055264368E-2</v>
      </c>
      <c r="AA352" s="14"/>
      <c r="AC352" s="16"/>
      <c r="AD352" s="5"/>
      <c r="AE352" s="5"/>
      <c r="AF352" s="5"/>
      <c r="AG352" s="5"/>
      <c r="AH352" s="5"/>
    </row>
    <row r="353" spans="1:34" s="47" customFormat="1" ht="15" customHeight="1" x14ac:dyDescent="0.2">
      <c r="A353" s="36" t="s">
        <v>673</v>
      </c>
      <c r="B353" s="27" t="s">
        <v>211</v>
      </c>
      <c r="C353" s="21">
        <v>942048</v>
      </c>
      <c r="D353" s="7">
        <v>1800</v>
      </c>
      <c r="E353" s="7">
        <v>2</v>
      </c>
      <c r="F353" s="8">
        <f t="shared" si="135"/>
        <v>17.445333333333334</v>
      </c>
      <c r="G353" s="33">
        <v>471732</v>
      </c>
      <c r="H353" s="7">
        <v>1800</v>
      </c>
      <c r="I353" s="7">
        <v>2</v>
      </c>
      <c r="J353" s="8">
        <f t="shared" si="136"/>
        <v>8.735777777777777</v>
      </c>
      <c r="K353" s="7">
        <v>2070354</v>
      </c>
      <c r="L353" s="7">
        <v>846721</v>
      </c>
      <c r="M353" s="7">
        <v>3</v>
      </c>
      <c r="N353" s="75">
        <f t="shared" si="139"/>
        <v>7.3354292618229611</v>
      </c>
      <c r="O353" s="75">
        <f t="shared" si="137"/>
        <v>33.516540372934074</v>
      </c>
      <c r="P353" s="75">
        <f t="shared" si="140"/>
        <v>10.121995192626089</v>
      </c>
      <c r="Q353" s="68">
        <f t="shared" si="138"/>
        <v>34.186871180392757</v>
      </c>
      <c r="R353" s="55">
        <f>9.95*2+1.54*5+9.66+1.54*9+1.11+6.6+0.66*2+1.99*3+3.16*2+1.7+5</f>
        <v>79.14</v>
      </c>
      <c r="S353" s="55">
        <v>79.14</v>
      </c>
      <c r="T353" s="78">
        <f t="shared" si="141"/>
        <v>79.14</v>
      </c>
      <c r="U353" s="9">
        <f t="shared" si="134"/>
        <v>164.3008360077759</v>
      </c>
      <c r="V353" s="75">
        <f t="shared" si="131"/>
        <v>41.075209001943975</v>
      </c>
      <c r="W353" s="42">
        <v>205</v>
      </c>
      <c r="X353" s="71">
        <v>200.78025622070908</v>
      </c>
      <c r="Y353" s="60">
        <f t="shared" si="142"/>
        <v>1.0210167267375749</v>
      </c>
      <c r="Z353" s="60">
        <f t="shared" si="132"/>
        <v>2.1016726737574931E-2</v>
      </c>
      <c r="AA353" s="14"/>
      <c r="AC353" s="16"/>
      <c r="AD353" s="5"/>
      <c r="AE353" s="5"/>
      <c r="AF353" s="5"/>
      <c r="AG353" s="5"/>
      <c r="AH353" s="5"/>
    </row>
    <row r="354" spans="1:34" s="47" customFormat="1" ht="15" customHeight="1" x14ac:dyDescent="0.2">
      <c r="A354" s="36" t="s">
        <v>918</v>
      </c>
      <c r="B354" s="27" t="s">
        <v>199</v>
      </c>
      <c r="C354" s="21">
        <v>942048</v>
      </c>
      <c r="D354" s="7">
        <v>1800</v>
      </c>
      <c r="E354" s="7">
        <v>2</v>
      </c>
      <c r="F354" s="8">
        <f t="shared" si="135"/>
        <v>17.445333333333334</v>
      </c>
      <c r="G354" s="33">
        <v>471732</v>
      </c>
      <c r="H354" s="7">
        <v>1800</v>
      </c>
      <c r="I354" s="7">
        <v>1</v>
      </c>
      <c r="J354" s="8">
        <f t="shared" si="136"/>
        <v>4.3678888888888885</v>
      </c>
      <c r="K354" s="7">
        <v>2070354</v>
      </c>
      <c r="L354" s="7">
        <v>846721</v>
      </c>
      <c r="M354" s="7">
        <v>2</v>
      </c>
      <c r="N354" s="75">
        <f t="shared" si="139"/>
        <v>4.890286174548641</v>
      </c>
      <c r="O354" s="75">
        <f t="shared" si="137"/>
        <v>26.703508396770864</v>
      </c>
      <c r="P354" s="75">
        <f t="shared" si="140"/>
        <v>8.0644595358248008</v>
      </c>
      <c r="Q354" s="68">
        <f t="shared" si="138"/>
        <v>27.237578564706283</v>
      </c>
      <c r="R354" s="55">
        <f>9.95*2+13.2+1.54*5+9.66+1.54*4+1.11+6.6*2+0.66*3+1.99*3+3.16*2+5+1.7</f>
        <v>91.899999999999991</v>
      </c>
      <c r="S354" s="55">
        <v>91.899999999999991</v>
      </c>
      <c r="T354" s="78">
        <f t="shared" si="141"/>
        <v>91.899999999999991</v>
      </c>
      <c r="U354" s="9">
        <f t="shared" si="134"/>
        <v>158.79583267185058</v>
      </c>
      <c r="V354" s="75">
        <f t="shared" si="131"/>
        <v>39.698958167962644</v>
      </c>
      <c r="W354" s="42">
        <v>198</v>
      </c>
      <c r="X354" s="71">
        <v>188.29646441735827</v>
      </c>
      <c r="Y354" s="60">
        <f t="shared" si="142"/>
        <v>1.0515332861541886</v>
      </c>
      <c r="Z354" s="60">
        <f t="shared" si="132"/>
        <v>5.1533286154188618E-2</v>
      </c>
      <c r="AA354" s="14"/>
      <c r="AC354" s="16"/>
      <c r="AD354" s="5"/>
      <c r="AE354" s="5"/>
      <c r="AF354" s="5"/>
      <c r="AG354" s="5"/>
      <c r="AH354" s="5"/>
    </row>
    <row r="355" spans="1:34" s="47" customFormat="1" ht="15" customHeight="1" x14ac:dyDescent="0.2">
      <c r="A355" s="36" t="s">
        <v>674</v>
      </c>
      <c r="B355" s="27" t="s">
        <v>829</v>
      </c>
      <c r="C355" s="21">
        <v>942048</v>
      </c>
      <c r="D355" s="7">
        <v>1800</v>
      </c>
      <c r="E355" s="7">
        <v>3</v>
      </c>
      <c r="F355" s="8">
        <f t="shared" si="135"/>
        <v>26.167999999999999</v>
      </c>
      <c r="G355" s="33">
        <v>471732</v>
      </c>
      <c r="H355" s="7">
        <v>1800</v>
      </c>
      <c r="I355" s="7">
        <v>1</v>
      </c>
      <c r="J355" s="8">
        <f t="shared" si="136"/>
        <v>4.3678888888888885</v>
      </c>
      <c r="K355" s="7">
        <v>2070354</v>
      </c>
      <c r="L355" s="7">
        <v>846721</v>
      </c>
      <c r="M355" s="7">
        <v>2</v>
      </c>
      <c r="N355" s="75">
        <f t="shared" si="139"/>
        <v>4.890286174548641</v>
      </c>
      <c r="O355" s="75">
        <f t="shared" si="137"/>
        <v>35.426175063437526</v>
      </c>
      <c r="P355" s="75">
        <f t="shared" si="140"/>
        <v>10.698704869158133</v>
      </c>
      <c r="Q355" s="68">
        <f t="shared" si="138"/>
        <v>36.134698564706277</v>
      </c>
      <c r="R355" s="55">
        <f>9.95*2+13.2+1.54*5+9.66+1.54*4+1.11+6.6*2+0.66*3+1.99*3+3.16*2+5+1.7</f>
        <v>91.899999999999991</v>
      </c>
      <c r="S355" s="55">
        <v>91.899999999999991</v>
      </c>
      <c r="T355" s="78">
        <f t="shared" si="141"/>
        <v>91.899999999999991</v>
      </c>
      <c r="U355" s="9">
        <f t="shared" si="134"/>
        <v>179.04986467185057</v>
      </c>
      <c r="V355" s="75">
        <f t="shared" si="131"/>
        <v>44.762466167962643</v>
      </c>
      <c r="W355" s="42">
        <v>224</v>
      </c>
      <c r="X355" s="71">
        <v>214.31177622070905</v>
      </c>
      <c r="Y355" s="60">
        <f t="shared" si="142"/>
        <v>1.0452062128835773</v>
      </c>
      <c r="Z355" s="60">
        <f t="shared" si="132"/>
        <v>4.520621288357729E-2</v>
      </c>
      <c r="AA355" s="14"/>
      <c r="AC355" s="16"/>
      <c r="AD355" s="5"/>
      <c r="AE355" s="5"/>
      <c r="AF355" s="5"/>
      <c r="AG355" s="5"/>
      <c r="AH355" s="5"/>
    </row>
    <row r="356" spans="1:34" s="47" customFormat="1" ht="15" customHeight="1" x14ac:dyDescent="0.2">
      <c r="A356" s="36" t="s">
        <v>675</v>
      </c>
      <c r="B356" s="27" t="s">
        <v>200</v>
      </c>
      <c r="C356" s="21">
        <v>942048</v>
      </c>
      <c r="D356" s="7">
        <v>1800</v>
      </c>
      <c r="E356" s="7">
        <v>3</v>
      </c>
      <c r="F356" s="8">
        <f t="shared" si="135"/>
        <v>26.167999999999999</v>
      </c>
      <c r="G356" s="33">
        <v>471732</v>
      </c>
      <c r="H356" s="7">
        <v>1800</v>
      </c>
      <c r="I356" s="7">
        <v>1</v>
      </c>
      <c r="J356" s="8">
        <f t="shared" si="136"/>
        <v>4.3678888888888885</v>
      </c>
      <c r="K356" s="7">
        <v>2070354</v>
      </c>
      <c r="L356" s="7">
        <v>846721</v>
      </c>
      <c r="M356" s="7">
        <v>3</v>
      </c>
      <c r="N356" s="75">
        <f t="shared" si="139"/>
        <v>7.3354292618229611</v>
      </c>
      <c r="O356" s="75">
        <f t="shared" si="137"/>
        <v>37.871318150711851</v>
      </c>
      <c r="P356" s="75">
        <f t="shared" si="140"/>
        <v>11.437138081514979</v>
      </c>
      <c r="Q356" s="68">
        <f t="shared" si="138"/>
        <v>38.62874451372609</v>
      </c>
      <c r="R356" s="55">
        <f>9.95*2+13.2+1.54*5+9.66+1.54*4+1.11+6.6+0.66+1.99*3+3.16*2+5+1.7</f>
        <v>83.979999999999976</v>
      </c>
      <c r="S356" s="55">
        <v>83.979999999999976</v>
      </c>
      <c r="T356" s="78">
        <f t="shared" si="141"/>
        <v>83.979999999999976</v>
      </c>
      <c r="U356" s="9">
        <f t="shared" si="134"/>
        <v>179.25263000777585</v>
      </c>
      <c r="V356" s="75">
        <f t="shared" si="131"/>
        <v>44.813157501943962</v>
      </c>
      <c r="W356" s="42">
        <v>224</v>
      </c>
      <c r="X356" s="71">
        <v>213.10044622070905</v>
      </c>
      <c r="Y356" s="60">
        <f t="shared" si="142"/>
        <v>1.0511474939287655</v>
      </c>
      <c r="Z356" s="60">
        <f t="shared" si="132"/>
        <v>5.1147493928765497E-2</v>
      </c>
      <c r="AA356" s="14"/>
      <c r="AC356" s="16"/>
      <c r="AD356" s="5"/>
      <c r="AE356" s="5"/>
      <c r="AF356" s="5"/>
      <c r="AG356" s="5"/>
      <c r="AH356" s="5"/>
    </row>
    <row r="357" spans="1:34" s="47" customFormat="1" ht="15" customHeight="1" x14ac:dyDescent="0.2">
      <c r="A357" s="36" t="s">
        <v>676</v>
      </c>
      <c r="B357" s="27" t="s">
        <v>830</v>
      </c>
      <c r="C357" s="21">
        <v>942048</v>
      </c>
      <c r="D357" s="7">
        <v>1800</v>
      </c>
      <c r="E357" s="7">
        <v>3</v>
      </c>
      <c r="F357" s="8">
        <f t="shared" si="135"/>
        <v>26.167999999999999</v>
      </c>
      <c r="G357" s="33">
        <v>471732</v>
      </c>
      <c r="H357" s="7">
        <v>1800</v>
      </c>
      <c r="I357" s="7">
        <v>1</v>
      </c>
      <c r="J357" s="8">
        <f t="shared" si="136"/>
        <v>4.3678888888888885</v>
      </c>
      <c r="K357" s="7">
        <v>2070354</v>
      </c>
      <c r="L357" s="7">
        <v>846721</v>
      </c>
      <c r="M357" s="7">
        <v>3</v>
      </c>
      <c r="N357" s="75">
        <f t="shared" si="139"/>
        <v>7.3354292618229611</v>
      </c>
      <c r="O357" s="75">
        <f t="shared" si="137"/>
        <v>37.871318150711851</v>
      </c>
      <c r="P357" s="75">
        <f t="shared" si="140"/>
        <v>11.437138081514979</v>
      </c>
      <c r="Q357" s="68">
        <f t="shared" si="138"/>
        <v>38.62874451372609</v>
      </c>
      <c r="R357" s="55">
        <f>9.95*2+13.2+1.54*5+9.66+1.54*4+1.11+6.6+0.66+1.99*3+3.16*2+5+1.7</f>
        <v>83.979999999999976</v>
      </c>
      <c r="S357" s="55">
        <v>83.979999999999976</v>
      </c>
      <c r="T357" s="78">
        <f t="shared" si="141"/>
        <v>83.979999999999976</v>
      </c>
      <c r="U357" s="9">
        <f t="shared" si="134"/>
        <v>179.25263000777585</v>
      </c>
      <c r="V357" s="75">
        <f t="shared" si="131"/>
        <v>44.813157501943962</v>
      </c>
      <c r="W357" s="42">
        <v>224</v>
      </c>
      <c r="X357" s="71">
        <v>213.10044622070905</v>
      </c>
      <c r="Y357" s="60">
        <f t="shared" si="142"/>
        <v>1.0511474939287655</v>
      </c>
      <c r="Z357" s="60">
        <f t="shared" si="132"/>
        <v>5.1147493928765497E-2</v>
      </c>
      <c r="AA357" s="14"/>
      <c r="AC357" s="16"/>
      <c r="AD357" s="5"/>
      <c r="AE357" s="5"/>
      <c r="AF357" s="5"/>
      <c r="AG357" s="5"/>
      <c r="AH357" s="5"/>
    </row>
    <row r="358" spans="1:34" s="47" customFormat="1" ht="15" customHeight="1" x14ac:dyDescent="0.2">
      <c r="A358" s="36" t="s">
        <v>677</v>
      </c>
      <c r="B358" s="27" t="s">
        <v>831</v>
      </c>
      <c r="C358" s="21">
        <v>942048</v>
      </c>
      <c r="D358" s="7">
        <v>1800</v>
      </c>
      <c r="E358" s="7">
        <v>3</v>
      </c>
      <c r="F358" s="8">
        <f t="shared" si="135"/>
        <v>26.167999999999999</v>
      </c>
      <c r="G358" s="33">
        <v>471732</v>
      </c>
      <c r="H358" s="7">
        <v>1800</v>
      </c>
      <c r="I358" s="7">
        <v>1</v>
      </c>
      <c r="J358" s="8">
        <f t="shared" si="136"/>
        <v>4.3678888888888885</v>
      </c>
      <c r="K358" s="7">
        <v>2070354</v>
      </c>
      <c r="L358" s="7">
        <v>846721</v>
      </c>
      <c r="M358" s="7">
        <v>3</v>
      </c>
      <c r="N358" s="75">
        <f t="shared" si="139"/>
        <v>7.3354292618229611</v>
      </c>
      <c r="O358" s="75">
        <f t="shared" si="137"/>
        <v>37.871318150711851</v>
      </c>
      <c r="P358" s="75">
        <f t="shared" si="140"/>
        <v>11.437138081514979</v>
      </c>
      <c r="Q358" s="68">
        <f t="shared" si="138"/>
        <v>38.62874451372609</v>
      </c>
      <c r="R358" s="55">
        <f>9.95*2+13.2+1.54*5+9.66+1.54*4+1.11+6.6+0.66+1.99*3+3.16*2+5+1.7</f>
        <v>83.979999999999976</v>
      </c>
      <c r="S358" s="55">
        <v>83.979999999999976</v>
      </c>
      <c r="T358" s="78">
        <f t="shared" si="141"/>
        <v>83.979999999999976</v>
      </c>
      <c r="U358" s="9">
        <f t="shared" si="134"/>
        <v>179.25263000777585</v>
      </c>
      <c r="V358" s="75">
        <f t="shared" si="131"/>
        <v>44.813157501943962</v>
      </c>
      <c r="W358" s="42">
        <v>224</v>
      </c>
      <c r="X358" s="71">
        <v>212.01505441735821</v>
      </c>
      <c r="Y358" s="60">
        <f t="shared" si="142"/>
        <v>1.0565287479965881</v>
      </c>
      <c r="Z358" s="60">
        <f t="shared" si="132"/>
        <v>5.6528747996588136E-2</v>
      </c>
      <c r="AA358" s="14"/>
      <c r="AC358" s="16"/>
      <c r="AD358" s="5"/>
      <c r="AE358" s="5"/>
      <c r="AF358" s="5"/>
      <c r="AG358" s="5"/>
      <c r="AH358" s="5"/>
    </row>
    <row r="359" spans="1:34" s="47" customFormat="1" ht="15" customHeight="1" x14ac:dyDescent="0.2">
      <c r="A359" s="36" t="s">
        <v>678</v>
      </c>
      <c r="B359" s="27" t="s">
        <v>201</v>
      </c>
      <c r="C359" s="21">
        <v>942048</v>
      </c>
      <c r="D359" s="7">
        <v>1800</v>
      </c>
      <c r="E359" s="7">
        <v>4</v>
      </c>
      <c r="F359" s="8">
        <f t="shared" si="135"/>
        <v>34.890666666666668</v>
      </c>
      <c r="G359" s="33">
        <v>471732</v>
      </c>
      <c r="H359" s="7">
        <v>1800</v>
      </c>
      <c r="I359" s="7">
        <v>2</v>
      </c>
      <c r="J359" s="8">
        <f t="shared" si="136"/>
        <v>8.735777777777777</v>
      </c>
      <c r="K359" s="7">
        <v>2070354</v>
      </c>
      <c r="L359" s="7">
        <v>846721</v>
      </c>
      <c r="M359" s="7">
        <v>6</v>
      </c>
      <c r="N359" s="75">
        <f t="shared" si="139"/>
        <v>14.670858523645922</v>
      </c>
      <c r="O359" s="75">
        <f t="shared" si="137"/>
        <v>58.297302968090364</v>
      </c>
      <c r="P359" s="75">
        <f t="shared" si="140"/>
        <v>17.605785496363289</v>
      </c>
      <c r="Q359" s="68">
        <f t="shared" si="138"/>
        <v>59.463249027452171</v>
      </c>
      <c r="R359" s="55">
        <f>9.95*2+13.2+1.54*5+13.2+1.54*8+1.11+1.99*3+3.16*2+1.7+4+11</f>
        <v>96.42</v>
      </c>
      <c r="S359" s="55">
        <v>96.42</v>
      </c>
      <c r="T359" s="78">
        <f t="shared" si="141"/>
        <v>96.42</v>
      </c>
      <c r="U359" s="9">
        <f t="shared" si="134"/>
        <v>246.45719601555174</v>
      </c>
      <c r="V359" s="75">
        <f t="shared" si="131"/>
        <v>61.614299003887936</v>
      </c>
      <c r="W359" s="42">
        <v>308</v>
      </c>
      <c r="X359" s="71">
        <v>299.26162244141813</v>
      </c>
      <c r="Y359" s="60">
        <f t="shared" si="142"/>
        <v>1.0291997934359005</v>
      </c>
      <c r="Z359" s="60">
        <f t="shared" si="132"/>
        <v>2.9199793435900512E-2</v>
      </c>
      <c r="AA359" s="14"/>
      <c r="AC359" s="16"/>
      <c r="AD359" s="5"/>
      <c r="AE359" s="5"/>
      <c r="AF359" s="5"/>
      <c r="AG359" s="5"/>
      <c r="AH359" s="5"/>
    </row>
    <row r="360" spans="1:34" s="47" customFormat="1" ht="15" customHeight="1" x14ac:dyDescent="0.2">
      <c r="A360" s="36" t="s">
        <v>679</v>
      </c>
      <c r="B360" s="27" t="s">
        <v>202</v>
      </c>
      <c r="C360" s="21">
        <v>942048</v>
      </c>
      <c r="D360" s="7">
        <v>1800</v>
      </c>
      <c r="E360" s="7">
        <v>3</v>
      </c>
      <c r="F360" s="8">
        <f t="shared" si="135"/>
        <v>26.167999999999999</v>
      </c>
      <c r="G360" s="33">
        <v>471732</v>
      </c>
      <c r="H360" s="7">
        <v>1800</v>
      </c>
      <c r="I360" s="7">
        <v>2</v>
      </c>
      <c r="J360" s="8">
        <f t="shared" si="136"/>
        <v>8.735777777777777</v>
      </c>
      <c r="K360" s="7">
        <v>2070354</v>
      </c>
      <c r="L360" s="7">
        <v>846721</v>
      </c>
      <c r="M360" s="7">
        <v>3</v>
      </c>
      <c r="N360" s="75">
        <f t="shared" si="139"/>
        <v>7.3354292618229611</v>
      </c>
      <c r="O360" s="75">
        <f t="shared" si="137"/>
        <v>42.239207039600736</v>
      </c>
      <c r="P360" s="75">
        <f t="shared" si="140"/>
        <v>12.756240525959422</v>
      </c>
      <c r="Q360" s="68">
        <f t="shared" si="138"/>
        <v>43.083991180392751</v>
      </c>
      <c r="R360" s="55">
        <f>9.95*2+13.2+1.54*5+9.66+1.54*4+1.11+6.66+0.66*3+1.99*3+3.16*2+1+1.7+1.99*3</f>
        <v>87.33</v>
      </c>
      <c r="S360" s="55">
        <v>87.33</v>
      </c>
      <c r="T360" s="78">
        <f t="shared" si="141"/>
        <v>87.33</v>
      </c>
      <c r="U360" s="9">
        <f t="shared" si="134"/>
        <v>192.74486800777586</v>
      </c>
      <c r="V360" s="75">
        <f t="shared" si="131"/>
        <v>48.186217001943966</v>
      </c>
      <c r="W360" s="42">
        <v>241</v>
      </c>
      <c r="X360" s="71">
        <v>237.98728441735824</v>
      </c>
      <c r="Y360" s="60">
        <f t="shared" si="142"/>
        <v>1.0126591451724722</v>
      </c>
      <c r="Z360" s="60">
        <f t="shared" si="132"/>
        <v>1.2659145172472241E-2</v>
      </c>
      <c r="AA360" s="14"/>
      <c r="AC360" s="16"/>
      <c r="AD360" s="5"/>
      <c r="AE360" s="5"/>
      <c r="AF360" s="5"/>
      <c r="AG360" s="5"/>
      <c r="AH360" s="5"/>
    </row>
    <row r="361" spans="1:34" s="47" customFormat="1" ht="15" customHeight="1" x14ac:dyDescent="0.2">
      <c r="A361" s="36" t="s">
        <v>680</v>
      </c>
      <c r="B361" s="27" t="s">
        <v>203</v>
      </c>
      <c r="C361" s="21">
        <v>942048</v>
      </c>
      <c r="D361" s="7">
        <v>1800</v>
      </c>
      <c r="E361" s="7">
        <v>2</v>
      </c>
      <c r="F361" s="8">
        <f t="shared" si="135"/>
        <v>17.445333333333334</v>
      </c>
      <c r="G361" s="33">
        <v>471732</v>
      </c>
      <c r="H361" s="7">
        <v>1800</v>
      </c>
      <c r="I361" s="7">
        <v>4</v>
      </c>
      <c r="J361" s="8">
        <f t="shared" si="136"/>
        <v>17.471555555555554</v>
      </c>
      <c r="K361" s="7">
        <v>2070354</v>
      </c>
      <c r="L361" s="7">
        <v>846721</v>
      </c>
      <c r="M361" s="7">
        <v>4</v>
      </c>
      <c r="N361" s="75">
        <f t="shared" si="139"/>
        <v>9.780572349097282</v>
      </c>
      <c r="O361" s="75">
        <f t="shared" si="137"/>
        <v>44.697461237986175</v>
      </c>
      <c r="P361" s="75">
        <f t="shared" si="140"/>
        <v>13.498633293871825</v>
      </c>
      <c r="Q361" s="68">
        <f t="shared" si="138"/>
        <v>45.591410462745898</v>
      </c>
      <c r="R361" s="55">
        <f>9.95+13.2+1.54*5+9.66+1.54*4+1.11+6.6+0.66*3+1.99*3+3.16*2+1+1.7</f>
        <v>71.350000000000009</v>
      </c>
      <c r="S361" s="55">
        <v>71.350000000000009</v>
      </c>
      <c r="T361" s="78">
        <f t="shared" si="141"/>
        <v>71.350000000000009</v>
      </c>
      <c r="U361" s="9">
        <f t="shared" si="134"/>
        <v>184.91807734370119</v>
      </c>
      <c r="V361" s="75">
        <f t="shared" si="131"/>
        <v>46.229519335925296</v>
      </c>
      <c r="W361" s="42">
        <v>231</v>
      </c>
      <c r="X361" s="71">
        <v>223.26958829427872</v>
      </c>
      <c r="Y361" s="60">
        <f t="shared" si="142"/>
        <v>1.0346236662358703</v>
      </c>
      <c r="Z361" s="60">
        <f t="shared" si="132"/>
        <v>3.4623666235870321E-2</v>
      </c>
      <c r="AA361" s="14"/>
      <c r="AC361" s="16"/>
      <c r="AD361" s="5"/>
      <c r="AE361" s="5"/>
      <c r="AF361" s="5"/>
      <c r="AG361" s="5"/>
      <c r="AH361" s="5"/>
    </row>
    <row r="362" spans="1:34" s="47" customFormat="1" ht="15" customHeight="1" x14ac:dyDescent="0.2">
      <c r="A362" s="36" t="s">
        <v>681</v>
      </c>
      <c r="B362" s="27" t="s">
        <v>204</v>
      </c>
      <c r="C362" s="21">
        <v>942048</v>
      </c>
      <c r="D362" s="7">
        <v>1800</v>
      </c>
      <c r="E362" s="7">
        <v>3</v>
      </c>
      <c r="F362" s="8">
        <f t="shared" si="135"/>
        <v>26.167999999999999</v>
      </c>
      <c r="G362" s="33">
        <v>471732</v>
      </c>
      <c r="H362" s="7">
        <v>1800</v>
      </c>
      <c r="I362" s="7">
        <v>3</v>
      </c>
      <c r="J362" s="8">
        <f t="shared" si="136"/>
        <v>13.103666666666665</v>
      </c>
      <c r="K362" s="7">
        <v>2070354</v>
      </c>
      <c r="L362" s="7">
        <v>846721</v>
      </c>
      <c r="M362" s="7">
        <v>3</v>
      </c>
      <c r="N362" s="75">
        <f t="shared" si="139"/>
        <v>7.3354292618229611</v>
      </c>
      <c r="O362" s="75">
        <f t="shared" si="137"/>
        <v>46.60709592848962</v>
      </c>
      <c r="P362" s="75">
        <f t="shared" si="140"/>
        <v>14.075342970403865</v>
      </c>
      <c r="Q362" s="68">
        <f t="shared" si="138"/>
        <v>47.539237847059411</v>
      </c>
      <c r="R362" s="55">
        <f>9.95*2+13.2+1.54*5+9.66+1.54*4+1.11+6.6+0.66*3+1.99*3+3.16*2+1.7+2.5</f>
        <v>82.8</v>
      </c>
      <c r="S362" s="55">
        <v>82.8</v>
      </c>
      <c r="T362" s="78">
        <f t="shared" si="141"/>
        <v>82.8</v>
      </c>
      <c r="U362" s="9">
        <f t="shared" si="134"/>
        <v>198.35710600777585</v>
      </c>
      <c r="V362" s="75">
        <f t="shared" si="131"/>
        <v>49.589276501943964</v>
      </c>
      <c r="W362" s="42">
        <v>248</v>
      </c>
      <c r="X362" s="71">
        <v>233.97642622070907</v>
      </c>
      <c r="Y362" s="60">
        <f t="shared" si="142"/>
        <v>1.0599358405708041</v>
      </c>
      <c r="Z362" s="60">
        <f t="shared" si="132"/>
        <v>5.9935840570804144E-2</v>
      </c>
      <c r="AA362" s="14"/>
      <c r="AC362" s="16"/>
      <c r="AD362" s="5"/>
      <c r="AE362" s="5"/>
      <c r="AF362" s="5"/>
      <c r="AG362" s="5"/>
      <c r="AH362" s="5"/>
    </row>
    <row r="363" spans="1:34" s="47" customFormat="1" ht="15" customHeight="1" x14ac:dyDescent="0.2">
      <c r="A363" s="36" t="s">
        <v>682</v>
      </c>
      <c r="B363" s="27" t="s">
        <v>205</v>
      </c>
      <c r="C363" s="21">
        <v>942048</v>
      </c>
      <c r="D363" s="7">
        <v>1800</v>
      </c>
      <c r="E363" s="7">
        <v>2</v>
      </c>
      <c r="F363" s="8">
        <f t="shared" si="135"/>
        <v>17.445333333333334</v>
      </c>
      <c r="G363" s="33">
        <v>471732</v>
      </c>
      <c r="H363" s="7">
        <v>1800</v>
      </c>
      <c r="I363" s="7">
        <v>4</v>
      </c>
      <c r="J363" s="8">
        <f t="shared" si="136"/>
        <v>17.471555555555554</v>
      </c>
      <c r="K363" s="7">
        <v>2070354</v>
      </c>
      <c r="L363" s="7">
        <v>846721</v>
      </c>
      <c r="M363" s="7">
        <v>4</v>
      </c>
      <c r="N363" s="75">
        <f t="shared" si="139"/>
        <v>9.780572349097282</v>
      </c>
      <c r="O363" s="75">
        <f t="shared" si="137"/>
        <v>44.697461237986175</v>
      </c>
      <c r="P363" s="75">
        <f t="shared" si="140"/>
        <v>13.498633293871825</v>
      </c>
      <c r="Q363" s="68">
        <f t="shared" si="138"/>
        <v>45.591410462745898</v>
      </c>
      <c r="R363" s="55">
        <f>9.95*2+3.1+1.54*5+1.99*3+3.16*2+1.11+12.05*1.5+1.99*3+1.54*5+0.66+0.66+0.5</f>
        <v>77.665000000000006</v>
      </c>
      <c r="S363" s="55">
        <v>77.665000000000006</v>
      </c>
      <c r="T363" s="78">
        <f t="shared" si="141"/>
        <v>77.665000000000006</v>
      </c>
      <c r="U363" s="9">
        <f t="shared" si="134"/>
        <v>191.23307734370118</v>
      </c>
      <c r="V363" s="75">
        <f t="shared" si="131"/>
        <v>47.808269335925296</v>
      </c>
      <c r="W363" s="42">
        <v>239</v>
      </c>
      <c r="X363" s="71">
        <v>229.25557226878158</v>
      </c>
      <c r="Y363" s="60">
        <f t="shared" si="142"/>
        <v>1.0425046494389849</v>
      </c>
      <c r="Z363" s="60">
        <f t="shared" si="132"/>
        <v>4.2504649438984909E-2</v>
      </c>
      <c r="AA363" s="14"/>
      <c r="AC363" s="16"/>
      <c r="AD363" s="5"/>
      <c r="AE363" s="5"/>
      <c r="AF363" s="5"/>
      <c r="AG363" s="5"/>
      <c r="AH363" s="5"/>
    </row>
    <row r="364" spans="1:34" ht="15" customHeight="1" x14ac:dyDescent="0.2">
      <c r="A364" s="36" t="s">
        <v>683</v>
      </c>
      <c r="B364" s="27" t="s">
        <v>206</v>
      </c>
      <c r="C364" s="21">
        <v>942048</v>
      </c>
      <c r="D364" s="7">
        <v>1800</v>
      </c>
      <c r="E364" s="7">
        <v>2</v>
      </c>
      <c r="F364" s="8">
        <f t="shared" si="135"/>
        <v>17.445333333333334</v>
      </c>
      <c r="G364" s="33">
        <v>471732</v>
      </c>
      <c r="H364" s="7">
        <v>1800</v>
      </c>
      <c r="I364" s="7">
        <v>4</v>
      </c>
      <c r="J364" s="8">
        <f>G364/H364/60*I364</f>
        <v>17.471555555555554</v>
      </c>
      <c r="K364" s="7">
        <v>2070354</v>
      </c>
      <c r="L364" s="7">
        <v>846721</v>
      </c>
      <c r="M364" s="7">
        <v>5</v>
      </c>
      <c r="N364" s="75">
        <f t="shared" si="139"/>
        <v>12.225715436371603</v>
      </c>
      <c r="O364" s="75">
        <f t="shared" si="137"/>
        <v>47.142604325260493</v>
      </c>
      <c r="P364" s="75">
        <f t="shared" si="140"/>
        <v>14.237066506228668</v>
      </c>
      <c r="Q364" s="68">
        <f t="shared" si="138"/>
        <v>48.085456411765705</v>
      </c>
      <c r="R364" s="55">
        <f>9.95*2+13.2+1.54*5+1.54*5+1.11+0.66*3+1.99*3+3.16*2+1.7+1</f>
        <v>66.58</v>
      </c>
      <c r="S364" s="55">
        <v>66.58</v>
      </c>
      <c r="T364" s="78">
        <f t="shared" si="141"/>
        <v>66.58</v>
      </c>
      <c r="U364" s="9">
        <f t="shared" si="134"/>
        <v>188.27084267962647</v>
      </c>
      <c r="V364" s="75">
        <f t="shared" si="131"/>
        <v>47.067710669906617</v>
      </c>
      <c r="W364" s="42">
        <v>235</v>
      </c>
      <c r="X364" s="71">
        <v>228.16218036784846</v>
      </c>
      <c r="Y364" s="60">
        <f t="shared" si="142"/>
        <v>1.0299691194269245</v>
      </c>
      <c r="Z364" s="60">
        <f t="shared" si="132"/>
        <v>2.9969119426924484E-2</v>
      </c>
      <c r="AA364" s="14"/>
    </row>
    <row r="365" spans="1:34" ht="15" customHeight="1" x14ac:dyDescent="0.2">
      <c r="A365" s="36" t="s">
        <v>684</v>
      </c>
      <c r="B365" s="27" t="s">
        <v>207</v>
      </c>
      <c r="C365" s="21">
        <v>942048</v>
      </c>
      <c r="D365" s="7">
        <v>1800</v>
      </c>
      <c r="E365" s="7">
        <v>4</v>
      </c>
      <c r="F365" s="8">
        <f t="shared" si="135"/>
        <v>34.890666666666668</v>
      </c>
      <c r="G365" s="33">
        <v>471732</v>
      </c>
      <c r="H365" s="7">
        <v>1800</v>
      </c>
      <c r="I365" s="7">
        <v>8</v>
      </c>
      <c r="J365" s="8">
        <f t="shared" si="136"/>
        <v>34.943111111111108</v>
      </c>
      <c r="K365" s="7">
        <v>27155.5</v>
      </c>
      <c r="L365" s="7">
        <v>846721</v>
      </c>
      <c r="M365" s="7">
        <v>8</v>
      </c>
      <c r="N365" s="75">
        <f t="shared" si="139"/>
        <v>0.25657093658950231</v>
      </c>
      <c r="O365" s="75">
        <f t="shared" si="137"/>
        <v>70.090348714367281</v>
      </c>
      <c r="P365" s="75">
        <f t="shared" si="140"/>
        <v>21.167285311738919</v>
      </c>
      <c r="Q365" s="68">
        <f t="shared" si="138"/>
        <v>71.492155688654634</v>
      </c>
      <c r="R365" s="55">
        <f>9.95*2+13.2+1.54*5+9.66+1.9+1.11*2+0.66+0.66+1.99*3+3.16*2+1.7+5</f>
        <v>74.889999999999986</v>
      </c>
      <c r="S365" s="55">
        <v>74.889999999999986</v>
      </c>
      <c r="T365" s="78">
        <f t="shared" si="141"/>
        <v>74.889999999999986</v>
      </c>
      <c r="U365" s="9">
        <f t="shared" si="134"/>
        <v>237.89636065135034</v>
      </c>
      <c r="V365" s="75">
        <f t="shared" si="131"/>
        <v>59.474090162837584</v>
      </c>
      <c r="W365" s="42">
        <v>297</v>
      </c>
      <c r="X365" s="71">
        <v>292.26491081418783</v>
      </c>
      <c r="Y365" s="60">
        <f t="shared" si="142"/>
        <v>1.0162013605144087</v>
      </c>
      <c r="Z365" s="60">
        <f t="shared" si="132"/>
        <v>1.620136051440868E-2</v>
      </c>
      <c r="AA365" s="14"/>
    </row>
    <row r="366" spans="1:34" ht="15" customHeight="1" x14ac:dyDescent="0.2">
      <c r="A366" s="36" t="s">
        <v>685</v>
      </c>
      <c r="B366" s="27" t="s">
        <v>208</v>
      </c>
      <c r="C366" s="21">
        <v>942048</v>
      </c>
      <c r="D366" s="7">
        <v>1800</v>
      </c>
      <c r="E366" s="7">
        <v>9</v>
      </c>
      <c r="F366" s="8">
        <f t="shared" si="135"/>
        <v>78.504000000000005</v>
      </c>
      <c r="G366" s="33">
        <v>471732</v>
      </c>
      <c r="H366" s="7">
        <v>1800</v>
      </c>
      <c r="I366" s="7">
        <v>4</v>
      </c>
      <c r="J366" s="8">
        <f>G366/H366/60*I366</f>
        <v>17.471555555555554</v>
      </c>
      <c r="K366" s="7">
        <v>2070354</v>
      </c>
      <c r="L366" s="7">
        <v>846721</v>
      </c>
      <c r="M366" s="7">
        <v>5</v>
      </c>
      <c r="N366" s="75">
        <f t="shared" si="139"/>
        <v>12.225715436371603</v>
      </c>
      <c r="O366" s="75">
        <f t="shared" si="137"/>
        <v>108.20127099192716</v>
      </c>
      <c r="P366" s="75">
        <f t="shared" si="140"/>
        <v>32.676783839561999</v>
      </c>
      <c r="Q366" s="68">
        <f t="shared" si="138"/>
        <v>110.36529641176571</v>
      </c>
      <c r="R366" s="55">
        <f>9.95*2+3.1+1.54*5+1.99*3+3.16*2+1.11*2+0.66*3+6.66*15.12+1.54*3+1.09*2+1.7</f>
        <v>156.38919999999999</v>
      </c>
      <c r="S366" s="55">
        <v>156.38919999999999</v>
      </c>
      <c r="T366" s="78">
        <f>S366*1-30</f>
        <v>126.38919999999999</v>
      </c>
      <c r="U366" s="9">
        <f t="shared" si="134"/>
        <v>389.85826667962647</v>
      </c>
      <c r="V366" s="75">
        <f t="shared" si="131"/>
        <v>97.464566669906617</v>
      </c>
      <c r="W366" s="42">
        <v>487</v>
      </c>
      <c r="X366" s="71">
        <v>461.25035487334083</v>
      </c>
      <c r="Y366" s="60">
        <f t="shared" si="142"/>
        <v>1.0558257459416589</v>
      </c>
      <c r="Z366" s="60">
        <f t="shared" si="132"/>
        <v>5.58257459416589E-2</v>
      </c>
      <c r="AA366" s="14"/>
    </row>
    <row r="367" spans="1:34" ht="15" customHeight="1" x14ac:dyDescent="0.2">
      <c r="A367" s="36" t="s">
        <v>765</v>
      </c>
      <c r="B367" s="27" t="s">
        <v>723</v>
      </c>
      <c r="C367" s="21">
        <v>942048</v>
      </c>
      <c r="D367" s="7">
        <v>1800</v>
      </c>
      <c r="E367" s="7">
        <v>5</v>
      </c>
      <c r="F367" s="8">
        <f t="shared" si="135"/>
        <v>43.613333333333337</v>
      </c>
      <c r="G367" s="33">
        <v>471732</v>
      </c>
      <c r="H367" s="7">
        <v>1800</v>
      </c>
      <c r="I367" s="7">
        <v>2</v>
      </c>
      <c r="J367" s="8">
        <f t="shared" si="136"/>
        <v>8.735777777777777</v>
      </c>
      <c r="K367" s="7">
        <v>2091842.75</v>
      </c>
      <c r="L367" s="7">
        <v>846721</v>
      </c>
      <c r="M367" s="7">
        <v>3</v>
      </c>
      <c r="N367" s="75">
        <f t="shared" si="139"/>
        <v>7.411565616064796</v>
      </c>
      <c r="O367" s="75">
        <f t="shared" si="137"/>
        <v>59.760676727175913</v>
      </c>
      <c r="P367" s="75">
        <f t="shared" si="140"/>
        <v>18.047724371607124</v>
      </c>
      <c r="Q367" s="68">
        <f t="shared" si="138"/>
        <v>60.955890261719432</v>
      </c>
      <c r="R367" s="55">
        <f>9.95+10.77+0.4+0.29+0.3+1.42+1.11+1.91+0.02+1.99*3+0.69+3.16*3</f>
        <v>42.309999999999988</v>
      </c>
      <c r="S367" s="55">
        <v>42.309999999999988</v>
      </c>
      <c r="T367" s="78">
        <f t="shared" si="141"/>
        <v>42.309999999999988</v>
      </c>
      <c r="U367" s="9">
        <f t="shared" si="134"/>
        <v>188.48585697656728</v>
      </c>
      <c r="V367" s="75">
        <f t="shared" si="131"/>
        <v>47.121464244141819</v>
      </c>
      <c r="W367" s="42">
        <v>236</v>
      </c>
      <c r="X367" s="71">
        <v>226.7975162207091</v>
      </c>
      <c r="Y367" s="60">
        <f t="shared" si="142"/>
        <v>1.0405757696673161</v>
      </c>
      <c r="Z367" s="60">
        <f t="shared" si="132"/>
        <v>4.0575769667316131E-2</v>
      </c>
      <c r="AB367" s="5"/>
      <c r="AC367" s="5"/>
    </row>
    <row r="368" spans="1:34" ht="15" customHeight="1" x14ac:dyDescent="0.2">
      <c r="A368" s="36" t="s">
        <v>766</v>
      </c>
      <c r="B368" s="27" t="s">
        <v>724</v>
      </c>
      <c r="C368" s="21">
        <v>942048</v>
      </c>
      <c r="D368" s="7">
        <v>1800</v>
      </c>
      <c r="E368" s="7">
        <v>4</v>
      </c>
      <c r="F368" s="8">
        <f t="shared" si="135"/>
        <v>34.890666666666668</v>
      </c>
      <c r="G368" s="33">
        <v>471732</v>
      </c>
      <c r="H368" s="7">
        <v>1800</v>
      </c>
      <c r="I368" s="7">
        <v>3</v>
      </c>
      <c r="J368" s="8">
        <f t="shared" si="136"/>
        <v>13.103666666666665</v>
      </c>
      <c r="K368" s="7">
        <v>2091842.75</v>
      </c>
      <c r="L368" s="7">
        <v>846721</v>
      </c>
      <c r="M368" s="7">
        <v>4</v>
      </c>
      <c r="N368" s="75">
        <f t="shared" si="139"/>
        <v>9.8820874880863947</v>
      </c>
      <c r="O368" s="75">
        <f t="shared" si="137"/>
        <v>57.876420821419728</v>
      </c>
      <c r="P368" s="75">
        <f t="shared" si="140"/>
        <v>17.478679088068759</v>
      </c>
      <c r="Q368" s="68">
        <f t="shared" si="138"/>
        <v>59.033949237848127</v>
      </c>
      <c r="R368" s="55">
        <f>9.95+13.99+0.4+0.29+0.3+1.42+1.11+1.91+0.02+1.99*3+0.69+3.16*3</f>
        <v>45.529999999999987</v>
      </c>
      <c r="S368" s="55">
        <v>45.529999999999987</v>
      </c>
      <c r="T368" s="78">
        <f t="shared" si="141"/>
        <v>45.529999999999987</v>
      </c>
      <c r="U368" s="9">
        <f t="shared" si="134"/>
        <v>189.80113663542301</v>
      </c>
      <c r="V368" s="75">
        <f t="shared" si="131"/>
        <v>47.450284158855752</v>
      </c>
      <c r="W368" s="42">
        <v>237</v>
      </c>
      <c r="X368" s="71">
        <v>232.59442829427877</v>
      </c>
      <c r="Y368" s="60">
        <f t="shared" si="142"/>
        <v>1.018941002748988</v>
      </c>
      <c r="Z368" s="60">
        <f t="shared" si="132"/>
        <v>1.8941002748988023E-2</v>
      </c>
      <c r="AB368" s="5"/>
      <c r="AC368" s="5"/>
    </row>
    <row r="369" spans="1:29" ht="15" customHeight="1" x14ac:dyDescent="0.2">
      <c r="A369" s="36" t="s">
        <v>767</v>
      </c>
      <c r="B369" s="27" t="s">
        <v>725</v>
      </c>
      <c r="C369" s="21">
        <v>942048</v>
      </c>
      <c r="D369" s="7">
        <v>1800</v>
      </c>
      <c r="E369" s="7">
        <v>3</v>
      </c>
      <c r="F369" s="8">
        <f t="shared" si="135"/>
        <v>26.167999999999999</v>
      </c>
      <c r="G369" s="33">
        <v>471732</v>
      </c>
      <c r="H369" s="7">
        <v>1800</v>
      </c>
      <c r="I369" s="7">
        <v>4</v>
      </c>
      <c r="J369" s="8">
        <f t="shared" si="136"/>
        <v>17.471555555555554</v>
      </c>
      <c r="K369" s="7">
        <v>2091842.75</v>
      </c>
      <c r="L369" s="7">
        <v>846721</v>
      </c>
      <c r="M369" s="7">
        <v>5</v>
      </c>
      <c r="N369" s="75">
        <f t="shared" si="139"/>
        <v>12.352609360107994</v>
      </c>
      <c r="O369" s="75">
        <f t="shared" si="137"/>
        <v>55.992164915663551</v>
      </c>
      <c r="P369" s="75">
        <f t="shared" si="140"/>
        <v>16.90963380453039</v>
      </c>
      <c r="Q369" s="68">
        <f t="shared" si="138"/>
        <v>57.112008213976821</v>
      </c>
      <c r="R369" s="55">
        <f>9.95+3.43+0.4+0.29+0.3+1.42+1.11+1.91+0.02+1.99*3+0.69+3.16*3</f>
        <v>34.97</v>
      </c>
      <c r="S369" s="55">
        <v>34.97</v>
      </c>
      <c r="T369" s="78">
        <f t="shared" si="141"/>
        <v>34.97</v>
      </c>
      <c r="U369" s="9">
        <f t="shared" si="134"/>
        <v>177.33641629427873</v>
      </c>
      <c r="V369" s="75">
        <f t="shared" si="131"/>
        <v>44.334104073569684</v>
      </c>
      <c r="W369" s="42">
        <v>222</v>
      </c>
      <c r="X369" s="71">
        <v>211.78710036784844</v>
      </c>
      <c r="Y369" s="60">
        <f t="shared" si="142"/>
        <v>1.0482224819850359</v>
      </c>
      <c r="Z369" s="60">
        <f t="shared" si="132"/>
        <v>4.822248198503587E-2</v>
      </c>
      <c r="AB369" s="5"/>
      <c r="AC369" s="5"/>
    </row>
    <row r="370" spans="1:29" ht="15" customHeight="1" x14ac:dyDescent="0.2">
      <c r="A370" s="36" t="s">
        <v>864</v>
      </c>
      <c r="B370" s="27" t="s">
        <v>726</v>
      </c>
      <c r="C370" s="21">
        <v>942048</v>
      </c>
      <c r="D370" s="7">
        <v>1800</v>
      </c>
      <c r="E370" s="7">
        <v>4</v>
      </c>
      <c r="F370" s="8">
        <f t="shared" si="135"/>
        <v>34.890666666666668</v>
      </c>
      <c r="G370" s="33">
        <v>471732</v>
      </c>
      <c r="H370" s="7">
        <v>1800</v>
      </c>
      <c r="I370" s="7">
        <v>4</v>
      </c>
      <c r="J370" s="8">
        <f t="shared" si="136"/>
        <v>17.471555555555554</v>
      </c>
      <c r="K370" s="7">
        <v>2091842.75</v>
      </c>
      <c r="L370" s="7">
        <v>846721</v>
      </c>
      <c r="M370" s="7">
        <v>2</v>
      </c>
      <c r="N370" s="75">
        <f t="shared" si="139"/>
        <v>4.9410437440431973</v>
      </c>
      <c r="O370" s="75">
        <f t="shared" si="137"/>
        <v>57.303265966265421</v>
      </c>
      <c r="P370" s="75">
        <f t="shared" si="140"/>
        <v>17.305586321812157</v>
      </c>
      <c r="Q370" s="68">
        <f t="shared" si="138"/>
        <v>58.449331285590731</v>
      </c>
      <c r="R370" s="55">
        <f>9.95+1.34+0.4+0.29+0.3+1.42+1.11+1.91+0.02+1.99*3+0.69+3.16*3</f>
        <v>32.879999999999995</v>
      </c>
      <c r="S370" s="55">
        <v>32.879999999999995</v>
      </c>
      <c r="T370" s="78">
        <f t="shared" si="141"/>
        <v>32.879999999999995</v>
      </c>
      <c r="U370" s="9">
        <f t="shared" si="134"/>
        <v>170.87922731771152</v>
      </c>
      <c r="V370" s="75">
        <f t="shared" si="131"/>
        <v>42.719806829427881</v>
      </c>
      <c r="W370" s="42">
        <v>214</v>
      </c>
      <c r="X370" s="71">
        <v>208.94723414713937</v>
      </c>
      <c r="Y370" s="60">
        <f t="shared" si="142"/>
        <v>1.0241820183621215</v>
      </c>
      <c r="Z370" s="60">
        <f t="shared" si="132"/>
        <v>2.4182018362121527E-2</v>
      </c>
      <c r="AB370" s="5"/>
      <c r="AC370" s="5"/>
    </row>
    <row r="371" spans="1:29" ht="15" customHeight="1" x14ac:dyDescent="0.2">
      <c r="A371" s="36" t="s">
        <v>768</v>
      </c>
      <c r="B371" s="27" t="s">
        <v>727</v>
      </c>
      <c r="C371" s="21">
        <v>942048</v>
      </c>
      <c r="D371" s="7">
        <v>1800</v>
      </c>
      <c r="E371" s="7">
        <v>5</v>
      </c>
      <c r="F371" s="8">
        <f t="shared" si="135"/>
        <v>43.613333333333337</v>
      </c>
      <c r="G371" s="33">
        <v>471732</v>
      </c>
      <c r="H371" s="7">
        <v>1800</v>
      </c>
      <c r="I371" s="7">
        <v>2</v>
      </c>
      <c r="J371" s="8">
        <f t="shared" si="136"/>
        <v>8.735777777777777</v>
      </c>
      <c r="K371" s="7">
        <v>2091842.75</v>
      </c>
      <c r="L371" s="7">
        <v>846721</v>
      </c>
      <c r="M371" s="7">
        <v>4</v>
      </c>
      <c r="N371" s="75">
        <f t="shared" si="139"/>
        <v>9.8820874880863947</v>
      </c>
      <c r="O371" s="75">
        <f t="shared" si="137"/>
        <v>62.231198599197512</v>
      </c>
      <c r="P371" s="75">
        <f t="shared" si="140"/>
        <v>18.793821976957648</v>
      </c>
      <c r="Q371" s="68">
        <f t="shared" si="138"/>
        <v>63.47582257118146</v>
      </c>
      <c r="R371" s="55">
        <f>9.95+12.45+0.4+0.29+0.3+1.42+1.11+1.91+0.02+1.99*3+0.69+3.16*3</f>
        <v>43.989999999999995</v>
      </c>
      <c r="S371" s="55">
        <v>43.989999999999995</v>
      </c>
      <c r="T371" s="78">
        <f t="shared" si="141"/>
        <v>43.989999999999995</v>
      </c>
      <c r="U371" s="9">
        <f t="shared" si="134"/>
        <v>198.37293063542302</v>
      </c>
      <c r="V371" s="75">
        <f t="shared" si="131"/>
        <v>49.593232658855754</v>
      </c>
      <c r="W371" s="42">
        <v>248</v>
      </c>
      <c r="X371" s="71">
        <v>238.94635829427875</v>
      </c>
      <c r="Y371" s="60">
        <f t="shared" si="142"/>
        <v>1.0378898501335228</v>
      </c>
      <c r="Z371" s="60">
        <f t="shared" si="132"/>
        <v>3.7889850133522751E-2</v>
      </c>
      <c r="AB371" s="5"/>
      <c r="AC371" s="5"/>
    </row>
    <row r="372" spans="1:29" ht="15" customHeight="1" x14ac:dyDescent="0.2">
      <c r="A372" s="36" t="s">
        <v>769</v>
      </c>
      <c r="B372" s="27" t="s">
        <v>728</v>
      </c>
      <c r="C372" s="21">
        <v>942048</v>
      </c>
      <c r="D372" s="7">
        <v>1800</v>
      </c>
      <c r="E372" s="7">
        <v>4</v>
      </c>
      <c r="F372" s="8">
        <f t="shared" si="135"/>
        <v>34.890666666666668</v>
      </c>
      <c r="G372" s="33">
        <v>471732</v>
      </c>
      <c r="H372" s="7">
        <v>1800</v>
      </c>
      <c r="I372" s="7">
        <v>3</v>
      </c>
      <c r="J372" s="8">
        <f t="shared" si="136"/>
        <v>13.103666666666665</v>
      </c>
      <c r="K372" s="7">
        <v>2091842.75</v>
      </c>
      <c r="L372" s="7">
        <v>846721</v>
      </c>
      <c r="M372" s="7">
        <v>4</v>
      </c>
      <c r="N372" s="75">
        <f t="shared" si="139"/>
        <v>9.8820874880863947</v>
      </c>
      <c r="O372" s="75">
        <f t="shared" si="137"/>
        <v>57.876420821419728</v>
      </c>
      <c r="P372" s="75">
        <f t="shared" si="140"/>
        <v>17.478679088068759</v>
      </c>
      <c r="Q372" s="68">
        <f t="shared" si="138"/>
        <v>59.033949237848127</v>
      </c>
      <c r="R372" s="55">
        <f>9.95+6.09+0.4+0.29+0.3+1.42+1.11+1.91+0.02+1.99*3+0.69+3.16*3</f>
        <v>37.629999999999995</v>
      </c>
      <c r="S372" s="55">
        <v>37.629999999999995</v>
      </c>
      <c r="T372" s="78">
        <f t="shared" si="141"/>
        <v>37.629999999999995</v>
      </c>
      <c r="U372" s="9">
        <f t="shared" si="134"/>
        <v>181.901136635423</v>
      </c>
      <c r="V372" s="75">
        <f t="shared" si="131"/>
        <v>45.47528415885575</v>
      </c>
      <c r="W372" s="42">
        <v>227</v>
      </c>
      <c r="X372" s="71">
        <v>223.70692829427878</v>
      </c>
      <c r="Y372" s="60">
        <f t="shared" si="142"/>
        <v>1.0147204725880876</v>
      </c>
      <c r="Z372" s="60">
        <f t="shared" ref="Z372:Z436" si="143">Y372-100%</f>
        <v>1.4720472588087619E-2</v>
      </c>
      <c r="AB372" s="5"/>
      <c r="AC372" s="5"/>
    </row>
    <row r="373" spans="1:29" ht="15" customHeight="1" x14ac:dyDescent="0.2">
      <c r="A373" s="36" t="s">
        <v>770</v>
      </c>
      <c r="B373" s="27" t="s">
        <v>729</v>
      </c>
      <c r="C373" s="21">
        <v>942048</v>
      </c>
      <c r="D373" s="7">
        <v>1800</v>
      </c>
      <c r="E373" s="7">
        <v>5</v>
      </c>
      <c r="F373" s="8">
        <f t="shared" si="135"/>
        <v>43.613333333333337</v>
      </c>
      <c r="G373" s="33">
        <v>471732</v>
      </c>
      <c r="H373" s="7">
        <v>1800</v>
      </c>
      <c r="I373" s="7">
        <v>3</v>
      </c>
      <c r="J373" s="8">
        <f t="shared" si="136"/>
        <v>13.103666666666665</v>
      </c>
      <c r="K373" s="7">
        <v>2091842.75</v>
      </c>
      <c r="L373" s="7">
        <v>846721</v>
      </c>
      <c r="M373" s="7">
        <v>3</v>
      </c>
      <c r="N373" s="75">
        <f t="shared" si="139"/>
        <v>7.411565616064796</v>
      </c>
      <c r="O373" s="75">
        <f t="shared" si="137"/>
        <v>64.12856561606479</v>
      </c>
      <c r="P373" s="75">
        <f t="shared" si="140"/>
        <v>19.366826816051567</v>
      </c>
      <c r="Q373" s="68">
        <f t="shared" si="138"/>
        <v>65.411136928386085</v>
      </c>
      <c r="R373" s="55">
        <f>9.95*2+31.678+0.4+0.29+0.3+1.42+1.11+1.91+0.02+1.99*3+0.69+3.16*3</f>
        <v>73.167999999999992</v>
      </c>
      <c r="S373" s="55">
        <v>73.167999999999992</v>
      </c>
      <c r="T373" s="78">
        <f t="shared" si="141"/>
        <v>73.167999999999992</v>
      </c>
      <c r="U373" s="9">
        <f t="shared" si="134"/>
        <v>229.48609497656724</v>
      </c>
      <c r="V373" s="75">
        <f t="shared" ref="V373:V392" si="144">U373*25%</f>
        <v>57.371523744141811</v>
      </c>
      <c r="W373" s="42">
        <v>287</v>
      </c>
      <c r="X373" s="71">
        <v>272.61450622070913</v>
      </c>
      <c r="Y373" s="60">
        <f t="shared" si="142"/>
        <v>1.0527686291486058</v>
      </c>
      <c r="Z373" s="60">
        <f t="shared" si="143"/>
        <v>5.2768629148605806E-2</v>
      </c>
      <c r="AB373" s="5"/>
      <c r="AC373" s="5"/>
    </row>
    <row r="374" spans="1:29" ht="15" customHeight="1" x14ac:dyDescent="0.2">
      <c r="A374" s="36" t="s">
        <v>771</v>
      </c>
      <c r="B374" s="27" t="s">
        <v>730</v>
      </c>
      <c r="C374" s="21">
        <v>942048</v>
      </c>
      <c r="D374" s="7">
        <v>1800</v>
      </c>
      <c r="E374" s="7">
        <v>6</v>
      </c>
      <c r="F374" s="8">
        <f t="shared" si="135"/>
        <v>52.335999999999999</v>
      </c>
      <c r="G374" s="33">
        <v>471732</v>
      </c>
      <c r="H374" s="7">
        <v>1800</v>
      </c>
      <c r="I374" s="7">
        <v>1</v>
      </c>
      <c r="J374" s="8">
        <f t="shared" si="136"/>
        <v>4.3678888888888885</v>
      </c>
      <c r="K374" s="7">
        <v>2091842.75</v>
      </c>
      <c r="L374" s="7">
        <v>846721</v>
      </c>
      <c r="M374" s="7">
        <v>2</v>
      </c>
      <c r="N374" s="75">
        <f t="shared" si="139"/>
        <v>4.9410437440431973</v>
      </c>
      <c r="O374" s="75">
        <f t="shared" si="137"/>
        <v>61.644932632932083</v>
      </c>
      <c r="P374" s="75">
        <f t="shared" si="140"/>
        <v>18.61676965514549</v>
      </c>
      <c r="Q374" s="68">
        <f t="shared" si="138"/>
        <v>62.877831285590723</v>
      </c>
      <c r="R374" s="55">
        <f>9.95*2+29.1+0.4+0.29+0.3+1.42+1.11+1.91+0.02+1.99*3+0.69+3.16*3</f>
        <v>70.589999999999989</v>
      </c>
      <c r="S374" s="55">
        <v>70.589999999999989</v>
      </c>
      <c r="T374" s="78">
        <f t="shared" si="141"/>
        <v>70.589999999999989</v>
      </c>
      <c r="U374" s="9">
        <f t="shared" ref="U374:U436" si="145">N374+O374+P374+Q374+T374</f>
        <v>218.67057731771149</v>
      </c>
      <c r="V374" s="75">
        <f t="shared" si="144"/>
        <v>54.667644329427873</v>
      </c>
      <c r="W374" s="42">
        <v>273</v>
      </c>
      <c r="X374" s="71">
        <v>267.53984414713943</v>
      </c>
      <c r="Y374" s="60">
        <f t="shared" si="142"/>
        <v>1.0204087576946395</v>
      </c>
      <c r="Z374" s="60">
        <f t="shared" si="143"/>
        <v>2.0408757694639457E-2</v>
      </c>
      <c r="AB374" s="5"/>
      <c r="AC374" s="5"/>
    </row>
    <row r="375" spans="1:29" ht="15" customHeight="1" x14ac:dyDescent="0.2">
      <c r="A375" s="36" t="s">
        <v>686</v>
      </c>
      <c r="B375" s="27" t="s">
        <v>748</v>
      </c>
      <c r="C375" s="21">
        <v>942048</v>
      </c>
      <c r="D375" s="7">
        <v>1800</v>
      </c>
      <c r="E375" s="7">
        <v>5</v>
      </c>
      <c r="F375" s="8">
        <f t="shared" si="135"/>
        <v>43.613333333333337</v>
      </c>
      <c r="G375" s="33">
        <v>471732</v>
      </c>
      <c r="H375" s="7">
        <v>1800</v>
      </c>
      <c r="I375" s="7">
        <v>1</v>
      </c>
      <c r="J375" s="8">
        <f t="shared" si="136"/>
        <v>4.3678888888888885</v>
      </c>
      <c r="K375" s="7">
        <v>2091842.75</v>
      </c>
      <c r="L375" s="7">
        <v>846721</v>
      </c>
      <c r="M375" s="7">
        <v>5</v>
      </c>
      <c r="N375" s="75">
        <f t="shared" si="139"/>
        <v>12.352609360107994</v>
      </c>
      <c r="O375" s="75">
        <f t="shared" si="137"/>
        <v>60.33383158233022</v>
      </c>
      <c r="P375" s="75">
        <f t="shared" si="140"/>
        <v>18.220817137863726</v>
      </c>
      <c r="Q375" s="68">
        <f t="shared" si="138"/>
        <v>61.540508213976828</v>
      </c>
      <c r="R375" s="55">
        <f>9.95*2+31.678+0.4+0.29+0.3+1.42+1.11+1.91+0.02+1.99*3+0.69+3.16*3</f>
        <v>73.167999999999992</v>
      </c>
      <c r="S375" s="55">
        <v>73.167999999999992</v>
      </c>
      <c r="T375" s="78">
        <f t="shared" si="141"/>
        <v>73.167999999999992</v>
      </c>
      <c r="U375" s="9">
        <f t="shared" si="145"/>
        <v>225.61576629427879</v>
      </c>
      <c r="V375" s="75">
        <f t="shared" si="144"/>
        <v>56.403941573569696</v>
      </c>
      <c r="W375" s="42">
        <v>282</v>
      </c>
      <c r="X375" s="71">
        <v>270.92871036784845</v>
      </c>
      <c r="Y375" s="60">
        <f t="shared" si="142"/>
        <v>1.0408642170743725</v>
      </c>
      <c r="Z375" s="60">
        <f t="shared" si="143"/>
        <v>4.0864217074372489E-2</v>
      </c>
      <c r="AB375" s="5"/>
      <c r="AC375" s="5"/>
    </row>
    <row r="376" spans="1:29" ht="15" customHeight="1" x14ac:dyDescent="0.2">
      <c r="A376" s="36" t="s">
        <v>687</v>
      </c>
      <c r="B376" s="27" t="s">
        <v>731</v>
      </c>
      <c r="C376" s="21">
        <v>942048</v>
      </c>
      <c r="D376" s="7">
        <v>1800</v>
      </c>
      <c r="E376" s="7">
        <v>4</v>
      </c>
      <c r="F376" s="8">
        <f t="shared" si="135"/>
        <v>34.890666666666668</v>
      </c>
      <c r="G376" s="33">
        <v>471732</v>
      </c>
      <c r="H376" s="7">
        <v>1800</v>
      </c>
      <c r="I376" s="7">
        <v>3</v>
      </c>
      <c r="J376" s="8">
        <f t="shared" si="136"/>
        <v>13.103666666666665</v>
      </c>
      <c r="K376" s="7">
        <v>2091842.75</v>
      </c>
      <c r="L376" s="7">
        <v>846721</v>
      </c>
      <c r="M376" s="7">
        <v>5</v>
      </c>
      <c r="N376" s="75">
        <f t="shared" si="139"/>
        <v>12.352609360107994</v>
      </c>
      <c r="O376" s="75">
        <f t="shared" si="137"/>
        <v>60.346942693441321</v>
      </c>
      <c r="P376" s="75">
        <f t="shared" si="140"/>
        <v>18.22477669341928</v>
      </c>
      <c r="Q376" s="68">
        <f t="shared" si="138"/>
        <v>61.553881547310148</v>
      </c>
      <c r="R376" s="55">
        <f>9.95*2+110.5+0.4+0.29+0.3+1.42+1.11+1.91+0.02+1.99*3+0.69+3.16*3</f>
        <v>151.99</v>
      </c>
      <c r="S376" s="55">
        <v>151.99</v>
      </c>
      <c r="T376" s="78">
        <f t="shared" si="141"/>
        <v>151.99</v>
      </c>
      <c r="U376" s="9">
        <f t="shared" si="145"/>
        <v>304.46821029427872</v>
      </c>
      <c r="V376" s="75">
        <f t="shared" si="144"/>
        <v>76.11705257356968</v>
      </c>
      <c r="W376" s="42">
        <v>381</v>
      </c>
      <c r="X376" s="71">
        <v>361.0184053678484</v>
      </c>
      <c r="Y376" s="60">
        <f t="shared" si="142"/>
        <v>1.0553478557742562</v>
      </c>
      <c r="Z376" s="60">
        <f t="shared" si="143"/>
        <v>5.5347855774256161E-2</v>
      </c>
      <c r="AB376" s="5"/>
      <c r="AC376" s="5"/>
    </row>
    <row r="377" spans="1:29" ht="15" customHeight="1" x14ac:dyDescent="0.2">
      <c r="A377" s="36" t="s">
        <v>688</v>
      </c>
      <c r="B377" s="27" t="s">
        <v>753</v>
      </c>
      <c r="C377" s="21">
        <v>942048</v>
      </c>
      <c r="D377" s="7">
        <v>1800</v>
      </c>
      <c r="E377" s="7">
        <v>4</v>
      </c>
      <c r="F377" s="8">
        <f t="shared" si="135"/>
        <v>34.890666666666668</v>
      </c>
      <c r="G377" s="33">
        <v>471732</v>
      </c>
      <c r="H377" s="7">
        <v>1800</v>
      </c>
      <c r="I377" s="7">
        <v>2</v>
      </c>
      <c r="J377" s="8">
        <f t="shared" si="136"/>
        <v>8.735777777777777</v>
      </c>
      <c r="K377" s="7">
        <v>1921488.75</v>
      </c>
      <c r="L377" s="7">
        <v>846721</v>
      </c>
      <c r="M377" s="7">
        <v>3</v>
      </c>
      <c r="N377" s="75">
        <f t="shared" si="139"/>
        <v>6.8079878141678316</v>
      </c>
      <c r="O377" s="75">
        <f t="shared" si="137"/>
        <v>50.434432258612276</v>
      </c>
      <c r="P377" s="75">
        <f t="shared" si="140"/>
        <v>15.231198542100907</v>
      </c>
      <c r="Q377" s="68">
        <f t="shared" si="138"/>
        <v>51.443120903784525</v>
      </c>
      <c r="R377" s="55">
        <f t="shared" ref="R377:R382" si="146">6.3/17+2950/30+1.52+9.36*4/17+10.02*18/17+6.5*7/17+16.4/17+25.642*3/17+1.54+116.2376/40+0.64/40+0.8/17+3.1612*3/17+0.3</f>
        <v>126.56877921568628</v>
      </c>
      <c r="S377" s="55">
        <v>126.56877921568628</v>
      </c>
      <c r="T377" s="78">
        <f>S377*1-10</f>
        <v>116.56877921568628</v>
      </c>
      <c r="U377" s="9">
        <f t="shared" si="145"/>
        <v>240.48551873435181</v>
      </c>
      <c r="V377" s="75">
        <f t="shared" si="144"/>
        <v>60.121379683587953</v>
      </c>
      <c r="W377" s="42">
        <v>301</v>
      </c>
      <c r="X377" s="71">
        <v>296.70492471695934</v>
      </c>
      <c r="Y377" s="60">
        <f t="shared" si="142"/>
        <v>1.0144759150429941</v>
      </c>
      <c r="Z377" s="60">
        <f t="shared" si="143"/>
        <v>1.4475915042994059E-2</v>
      </c>
      <c r="AB377" s="5"/>
      <c r="AC377" s="5"/>
    </row>
    <row r="378" spans="1:29" ht="15" customHeight="1" x14ac:dyDescent="0.2">
      <c r="A378" s="36" t="s">
        <v>689</v>
      </c>
      <c r="B378" s="27" t="s">
        <v>756</v>
      </c>
      <c r="C378" s="21">
        <v>942048</v>
      </c>
      <c r="D378" s="7">
        <v>1800</v>
      </c>
      <c r="E378" s="7">
        <v>3</v>
      </c>
      <c r="F378" s="8">
        <f t="shared" si="135"/>
        <v>26.167999999999999</v>
      </c>
      <c r="G378" s="33">
        <v>471732</v>
      </c>
      <c r="H378" s="7">
        <v>1800</v>
      </c>
      <c r="I378" s="7">
        <v>3</v>
      </c>
      <c r="J378" s="8">
        <f t="shared" si="136"/>
        <v>13.103666666666665</v>
      </c>
      <c r="K378" s="7">
        <v>1921488.75</v>
      </c>
      <c r="L378" s="7">
        <v>846721</v>
      </c>
      <c r="M378" s="7">
        <v>3</v>
      </c>
      <c r="N378" s="75">
        <f t="shared" si="139"/>
        <v>6.8079878141678316</v>
      </c>
      <c r="O378" s="75">
        <f t="shared" si="137"/>
        <v>46.079654480834492</v>
      </c>
      <c r="P378" s="75">
        <f t="shared" si="140"/>
        <v>13.916055653212016</v>
      </c>
      <c r="Q378" s="68">
        <f t="shared" si="138"/>
        <v>47.001247570451184</v>
      </c>
      <c r="R378" s="55">
        <f t="shared" si="146"/>
        <v>126.56877921568628</v>
      </c>
      <c r="S378" s="55">
        <v>126.56877921568628</v>
      </c>
      <c r="T378" s="78">
        <f t="shared" ref="T378:T383" si="147">S378*1-10</f>
        <v>116.56877921568628</v>
      </c>
      <c r="U378" s="9">
        <f t="shared" si="145"/>
        <v>230.37372473435181</v>
      </c>
      <c r="V378" s="75">
        <f t="shared" si="144"/>
        <v>57.593431183587953</v>
      </c>
      <c r="W378" s="42">
        <v>288</v>
      </c>
      <c r="X378" s="71">
        <v>288.62049471695934</v>
      </c>
      <c r="Y378" s="60">
        <f t="shared" si="142"/>
        <v>0.99785013632670871</v>
      </c>
      <c r="Z378" s="60">
        <f t="shared" si="143"/>
        <v>-2.1498636732912857E-3</v>
      </c>
      <c r="AB378" s="5"/>
      <c r="AC378" s="5"/>
    </row>
    <row r="379" spans="1:29" ht="15" customHeight="1" x14ac:dyDescent="0.2">
      <c r="A379" s="36" t="s">
        <v>690</v>
      </c>
      <c r="B379" s="27" t="s">
        <v>757</v>
      </c>
      <c r="C379" s="21">
        <v>942048</v>
      </c>
      <c r="D379" s="7">
        <v>1800</v>
      </c>
      <c r="E379" s="7">
        <v>4</v>
      </c>
      <c r="F379" s="8">
        <f t="shared" si="135"/>
        <v>34.890666666666668</v>
      </c>
      <c r="G379" s="33">
        <v>471732</v>
      </c>
      <c r="H379" s="7">
        <v>1800</v>
      </c>
      <c r="I379" s="7">
        <v>4</v>
      </c>
      <c r="J379" s="8">
        <f t="shared" si="136"/>
        <v>17.471555555555554</v>
      </c>
      <c r="K379" s="7">
        <v>1921488.75</v>
      </c>
      <c r="L379" s="7">
        <v>846721</v>
      </c>
      <c r="M379" s="7">
        <v>3</v>
      </c>
      <c r="N379" s="75">
        <f t="shared" si="139"/>
        <v>6.8079878141678316</v>
      </c>
      <c r="O379" s="75">
        <f t="shared" si="137"/>
        <v>59.170210036390053</v>
      </c>
      <c r="P379" s="75">
        <f t="shared" si="140"/>
        <v>17.869403430989795</v>
      </c>
      <c r="Q379" s="68">
        <f t="shared" si="138"/>
        <v>60.353614237117853</v>
      </c>
      <c r="R379" s="55">
        <f t="shared" si="146"/>
        <v>126.56877921568628</v>
      </c>
      <c r="S379" s="55">
        <v>126.56877921568628</v>
      </c>
      <c r="T379" s="78">
        <f t="shared" si="147"/>
        <v>116.56877921568628</v>
      </c>
      <c r="U379" s="9">
        <f t="shared" si="145"/>
        <v>260.76999473435183</v>
      </c>
      <c r="V379" s="75">
        <f t="shared" si="144"/>
        <v>65.192498683587957</v>
      </c>
      <c r="W379" s="42">
        <v>326</v>
      </c>
      <c r="X379" s="71">
        <v>318.90840471695935</v>
      </c>
      <c r="Y379" s="60">
        <f t="shared" si="142"/>
        <v>1.0222370912091032</v>
      </c>
      <c r="Z379" s="60">
        <f t="shared" si="143"/>
        <v>2.2237091209103221E-2</v>
      </c>
      <c r="AB379" s="5"/>
      <c r="AC379" s="5"/>
    </row>
    <row r="380" spans="1:29" ht="15" customHeight="1" x14ac:dyDescent="0.2">
      <c r="A380" s="36" t="s">
        <v>691</v>
      </c>
      <c r="B380" s="27" t="s">
        <v>755</v>
      </c>
      <c r="C380" s="21">
        <v>942048</v>
      </c>
      <c r="D380" s="7">
        <v>1800</v>
      </c>
      <c r="E380" s="7">
        <v>3</v>
      </c>
      <c r="F380" s="8">
        <f t="shared" si="135"/>
        <v>26.167999999999999</v>
      </c>
      <c r="G380" s="33">
        <v>471732</v>
      </c>
      <c r="H380" s="7">
        <v>1800</v>
      </c>
      <c r="I380" s="7">
        <v>3</v>
      </c>
      <c r="J380" s="8">
        <f t="shared" si="136"/>
        <v>13.103666666666665</v>
      </c>
      <c r="K380" s="7">
        <v>1921488.75</v>
      </c>
      <c r="L380" s="7">
        <v>846721</v>
      </c>
      <c r="M380" s="7">
        <v>3</v>
      </c>
      <c r="N380" s="75">
        <f t="shared" si="139"/>
        <v>6.8079878141678316</v>
      </c>
      <c r="O380" s="75">
        <f>F380+J380+N380</f>
        <v>46.079654480834492</v>
      </c>
      <c r="P380" s="75">
        <f t="shared" si="140"/>
        <v>13.916055653212016</v>
      </c>
      <c r="Q380" s="68">
        <f t="shared" si="138"/>
        <v>47.001247570451184</v>
      </c>
      <c r="R380" s="55">
        <f t="shared" si="146"/>
        <v>126.56877921568628</v>
      </c>
      <c r="S380" s="55">
        <v>126.56877921568628</v>
      </c>
      <c r="T380" s="78">
        <f t="shared" si="147"/>
        <v>116.56877921568628</v>
      </c>
      <c r="U380" s="9">
        <f t="shared" si="145"/>
        <v>230.37372473435181</v>
      </c>
      <c r="V380" s="75">
        <f t="shared" si="144"/>
        <v>57.593431183587953</v>
      </c>
      <c r="W380" s="42">
        <v>288</v>
      </c>
      <c r="X380" s="71">
        <v>288.62049471695934</v>
      </c>
      <c r="Y380" s="60">
        <f t="shared" si="142"/>
        <v>0.99785013632670871</v>
      </c>
      <c r="Z380" s="60">
        <f t="shared" si="143"/>
        <v>-2.1498636732912857E-3</v>
      </c>
      <c r="AB380" s="5"/>
      <c r="AC380" s="5"/>
    </row>
    <row r="381" spans="1:29" ht="15" customHeight="1" x14ac:dyDescent="0.2">
      <c r="A381" s="36" t="s">
        <v>692</v>
      </c>
      <c r="B381" s="27" t="s">
        <v>750</v>
      </c>
      <c r="C381" s="21">
        <v>942048</v>
      </c>
      <c r="D381" s="7">
        <v>1800</v>
      </c>
      <c r="E381" s="7">
        <v>4</v>
      </c>
      <c r="F381" s="8">
        <f t="shared" si="135"/>
        <v>34.890666666666668</v>
      </c>
      <c r="G381" s="33">
        <v>471732</v>
      </c>
      <c r="H381" s="7">
        <v>1800</v>
      </c>
      <c r="I381" s="7">
        <v>4</v>
      </c>
      <c r="J381" s="8">
        <f t="shared" si="136"/>
        <v>17.471555555555554</v>
      </c>
      <c r="K381" s="7">
        <v>1921488.75</v>
      </c>
      <c r="L381" s="7">
        <v>846721</v>
      </c>
      <c r="M381" s="7">
        <v>3</v>
      </c>
      <c r="N381" s="75">
        <f t="shared" si="139"/>
        <v>6.8079878141678316</v>
      </c>
      <c r="O381" s="75">
        <f>F381+J381+N381</f>
        <v>59.170210036390053</v>
      </c>
      <c r="P381" s="75">
        <f t="shared" si="140"/>
        <v>17.869403430989795</v>
      </c>
      <c r="Q381" s="68">
        <f t="shared" si="138"/>
        <v>60.353614237117853</v>
      </c>
      <c r="R381" s="55">
        <f t="shared" si="146"/>
        <v>126.56877921568628</v>
      </c>
      <c r="S381" s="55">
        <v>126.56877921568628</v>
      </c>
      <c r="T381" s="78">
        <f t="shared" si="147"/>
        <v>116.56877921568628</v>
      </c>
      <c r="U381" s="9">
        <f t="shared" si="145"/>
        <v>260.76999473435183</v>
      </c>
      <c r="V381" s="75">
        <f t="shared" si="144"/>
        <v>65.192498683587957</v>
      </c>
      <c r="W381" s="42">
        <v>326</v>
      </c>
      <c r="X381" s="71">
        <v>318.90840471695935</v>
      </c>
      <c r="Y381" s="60">
        <f t="shared" si="142"/>
        <v>1.0222370912091032</v>
      </c>
      <c r="Z381" s="60">
        <f t="shared" si="143"/>
        <v>2.2237091209103221E-2</v>
      </c>
      <c r="AB381" s="5"/>
      <c r="AC381" s="5"/>
    </row>
    <row r="382" spans="1:29" ht="15" customHeight="1" x14ac:dyDescent="0.2">
      <c r="A382" s="36" t="s">
        <v>693</v>
      </c>
      <c r="B382" s="27" t="s">
        <v>749</v>
      </c>
      <c r="C382" s="21">
        <v>942048</v>
      </c>
      <c r="D382" s="7">
        <v>1800</v>
      </c>
      <c r="E382" s="7">
        <v>4</v>
      </c>
      <c r="F382" s="8">
        <f t="shared" si="135"/>
        <v>34.890666666666668</v>
      </c>
      <c r="G382" s="33">
        <v>471732</v>
      </c>
      <c r="H382" s="7">
        <v>1800</v>
      </c>
      <c r="I382" s="7">
        <v>2</v>
      </c>
      <c r="J382" s="8">
        <f t="shared" si="136"/>
        <v>8.735777777777777</v>
      </c>
      <c r="K382" s="7">
        <v>1921488.75</v>
      </c>
      <c r="L382" s="7">
        <v>846721</v>
      </c>
      <c r="M382" s="7">
        <v>2</v>
      </c>
      <c r="N382" s="75">
        <f t="shared" si="139"/>
        <v>4.5386585427785544</v>
      </c>
      <c r="O382" s="75">
        <f t="shared" ref="O382:O401" si="148">F382+J382+N382</f>
        <v>48.165102987223001</v>
      </c>
      <c r="P382" s="75">
        <f t="shared" si="140"/>
        <v>14.545861102141346</v>
      </c>
      <c r="Q382" s="68">
        <f t="shared" si="138"/>
        <v>49.128405046967465</v>
      </c>
      <c r="R382" s="55">
        <f t="shared" si="146"/>
        <v>126.56877921568628</v>
      </c>
      <c r="S382" s="55">
        <v>126.56877921568628</v>
      </c>
      <c r="T382" s="78">
        <f t="shared" si="147"/>
        <v>116.56877921568628</v>
      </c>
      <c r="U382" s="9">
        <f t="shared" si="145"/>
        <v>232.94680689479665</v>
      </c>
      <c r="V382" s="75">
        <f t="shared" si="144"/>
        <v>58.236701723699163</v>
      </c>
      <c r="W382" s="42">
        <v>291</v>
      </c>
      <c r="X382" s="71">
        <v>287.28153491751539</v>
      </c>
      <c r="Y382" s="60">
        <f t="shared" si="142"/>
        <v>1.0129436271758721</v>
      </c>
      <c r="Z382" s="60">
        <f t="shared" si="143"/>
        <v>1.2943627175872052E-2</v>
      </c>
      <c r="AB382" s="5"/>
      <c r="AC382" s="5"/>
    </row>
    <row r="383" spans="1:29" ht="15" customHeight="1" x14ac:dyDescent="0.2">
      <c r="A383" s="36" t="s">
        <v>694</v>
      </c>
      <c r="B383" s="27" t="s">
        <v>758</v>
      </c>
      <c r="C383" s="21">
        <v>942048</v>
      </c>
      <c r="D383" s="7">
        <v>1800</v>
      </c>
      <c r="E383" s="7">
        <v>3</v>
      </c>
      <c r="F383" s="8">
        <f t="shared" si="135"/>
        <v>26.167999999999999</v>
      </c>
      <c r="G383" s="33">
        <v>471732</v>
      </c>
      <c r="H383" s="7">
        <v>1800</v>
      </c>
      <c r="I383" s="7">
        <v>3</v>
      </c>
      <c r="J383" s="8">
        <f t="shared" si="136"/>
        <v>13.103666666666665</v>
      </c>
      <c r="K383" s="7">
        <v>1921488.75</v>
      </c>
      <c r="L383" s="7">
        <v>846721</v>
      </c>
      <c r="M383" s="7">
        <v>3</v>
      </c>
      <c r="N383" s="75">
        <f t="shared" si="139"/>
        <v>6.8079878141678316</v>
      </c>
      <c r="O383" s="75">
        <f t="shared" si="148"/>
        <v>46.079654480834492</v>
      </c>
      <c r="P383" s="75">
        <f t="shared" si="140"/>
        <v>13.916055653212016</v>
      </c>
      <c r="Q383" s="68">
        <f t="shared" si="138"/>
        <v>47.001247570451184</v>
      </c>
      <c r="R383" s="55">
        <v>126.56877921568628</v>
      </c>
      <c r="S383" s="55">
        <v>126.56877921568628</v>
      </c>
      <c r="T383" s="78">
        <f t="shared" si="147"/>
        <v>116.56877921568628</v>
      </c>
      <c r="U383" s="9">
        <f t="shared" si="145"/>
        <v>230.37372473435181</v>
      </c>
      <c r="V383" s="75">
        <f t="shared" si="144"/>
        <v>57.593431183587953</v>
      </c>
      <c r="W383" s="42">
        <v>288</v>
      </c>
      <c r="X383" s="71">
        <v>288.62049471695934</v>
      </c>
      <c r="Y383" s="60">
        <f t="shared" si="142"/>
        <v>0.99785013632670871</v>
      </c>
      <c r="Z383" s="60">
        <f t="shared" si="143"/>
        <v>-2.1498636732912857E-3</v>
      </c>
      <c r="AB383" s="5"/>
      <c r="AC383" s="5"/>
    </row>
    <row r="384" spans="1:29" ht="15" customHeight="1" x14ac:dyDescent="0.2">
      <c r="A384" s="36" t="s">
        <v>695</v>
      </c>
      <c r="B384" s="27" t="s">
        <v>884</v>
      </c>
      <c r="C384" s="21">
        <v>942048</v>
      </c>
      <c r="D384" s="7">
        <v>1800</v>
      </c>
      <c r="E384" s="7">
        <v>3</v>
      </c>
      <c r="F384" s="8">
        <f t="shared" si="135"/>
        <v>26.167999999999999</v>
      </c>
      <c r="G384" s="33">
        <v>471732</v>
      </c>
      <c r="H384" s="7">
        <v>1800</v>
      </c>
      <c r="I384" s="7">
        <v>2</v>
      </c>
      <c r="J384" s="8">
        <f t="shared" si="136"/>
        <v>8.735777777777777</v>
      </c>
      <c r="K384" s="7">
        <f>3488.75+18000+1900000</f>
        <v>1921488.75</v>
      </c>
      <c r="L384" s="7">
        <v>846721</v>
      </c>
      <c r="M384" s="7">
        <v>2</v>
      </c>
      <c r="N384" s="8">
        <f t="shared" si="139"/>
        <v>4.5386585427785544</v>
      </c>
      <c r="O384" s="8">
        <f t="shared" si="148"/>
        <v>39.442436320556332</v>
      </c>
      <c r="P384" s="8">
        <f t="shared" si="140"/>
        <v>11.911615768808012</v>
      </c>
      <c r="Q384" s="68">
        <f t="shared" si="138"/>
        <v>40.231285046967457</v>
      </c>
      <c r="R384" s="117">
        <f>6.3/17+4200/34+1.52+9.36*4/17+10.02*18/17+6.5*7/17+16.4/17+25.642*3/17+1.54+116.2376/40+0.64/40+0.8/17+3.1612*3/17+0.4</f>
        <v>151.86485764705884</v>
      </c>
      <c r="S384" s="117">
        <v>151.86485764705884</v>
      </c>
      <c r="T384" s="118">
        <f>S384*1</f>
        <v>151.86485764705884</v>
      </c>
      <c r="U384" s="9">
        <f t="shared" si="145"/>
        <v>247.98885332616919</v>
      </c>
      <c r="V384" s="8">
        <f t="shared" si="144"/>
        <v>61.997213331542298</v>
      </c>
      <c r="W384" s="42">
        <v>310</v>
      </c>
      <c r="X384" s="71">
        <v>307</v>
      </c>
      <c r="Y384" s="60">
        <f t="shared" si="142"/>
        <v>1.009771986970684</v>
      </c>
      <c r="Z384" s="60">
        <f t="shared" si="143"/>
        <v>9.7719869706840434E-3</v>
      </c>
      <c r="AB384" s="5"/>
      <c r="AC384" s="5"/>
    </row>
    <row r="385" spans="1:34" s="65" customFormat="1" ht="15" customHeight="1" x14ac:dyDescent="0.2">
      <c r="A385" s="36" t="s">
        <v>696</v>
      </c>
      <c r="B385" s="27" t="s">
        <v>885</v>
      </c>
      <c r="C385" s="21">
        <v>942048</v>
      </c>
      <c r="D385" s="7">
        <v>1800</v>
      </c>
      <c r="E385" s="7">
        <v>3</v>
      </c>
      <c r="F385" s="8">
        <f t="shared" si="135"/>
        <v>26.167999999999999</v>
      </c>
      <c r="G385" s="33">
        <v>471732</v>
      </c>
      <c r="H385" s="7">
        <v>1800</v>
      </c>
      <c r="I385" s="7">
        <v>2</v>
      </c>
      <c r="J385" s="8">
        <f t="shared" si="136"/>
        <v>8.735777777777777</v>
      </c>
      <c r="K385" s="7">
        <f>3488.75+18000+1900000</f>
        <v>1921488.75</v>
      </c>
      <c r="L385" s="7">
        <v>846721</v>
      </c>
      <c r="M385" s="7">
        <v>2</v>
      </c>
      <c r="N385" s="8">
        <f t="shared" si="139"/>
        <v>4.5386585427785544</v>
      </c>
      <c r="O385" s="8">
        <f t="shared" si="148"/>
        <v>39.442436320556332</v>
      </c>
      <c r="P385" s="8">
        <f t="shared" si="140"/>
        <v>11.911615768808012</v>
      </c>
      <c r="Q385" s="68">
        <f t="shared" si="138"/>
        <v>40.231285046967457</v>
      </c>
      <c r="R385" s="117">
        <f>6.3/17+4200/34+1.52+9.36*4/17+10.02*18/17+6.5*7/17+16.4/17+25.642*3/17+1.54+116.2376/40+0.64/40+0.8/17+3.1612*3/17+0.4</f>
        <v>151.86485764705884</v>
      </c>
      <c r="S385" s="117">
        <v>151.86485764705884</v>
      </c>
      <c r="T385" s="118">
        <f>S385*1</f>
        <v>151.86485764705884</v>
      </c>
      <c r="U385" s="9">
        <f t="shared" si="145"/>
        <v>247.98885332616919</v>
      </c>
      <c r="V385" s="8">
        <f t="shared" si="144"/>
        <v>61.997213331542298</v>
      </c>
      <c r="W385" s="42">
        <v>310</v>
      </c>
      <c r="X385" s="71">
        <v>281</v>
      </c>
      <c r="Y385" s="60">
        <f t="shared" si="142"/>
        <v>1.103202846975089</v>
      </c>
      <c r="Z385" s="60">
        <f t="shared" si="143"/>
        <v>0.10320284697508897</v>
      </c>
      <c r="AA385" s="5"/>
      <c r="AB385" s="5"/>
      <c r="AC385" s="5"/>
      <c r="AD385" s="5"/>
      <c r="AE385" s="5"/>
      <c r="AF385" s="5"/>
      <c r="AG385" s="5"/>
    </row>
    <row r="386" spans="1:34" ht="15" customHeight="1" x14ac:dyDescent="0.2">
      <c r="A386" s="36" t="s">
        <v>697</v>
      </c>
      <c r="B386" s="27" t="s">
        <v>886</v>
      </c>
      <c r="C386" s="21">
        <v>942048</v>
      </c>
      <c r="D386" s="7">
        <v>1800</v>
      </c>
      <c r="E386" s="7">
        <v>3</v>
      </c>
      <c r="F386" s="8">
        <f t="shared" ref="F386:F394" si="149">C386/D386/60*E386</f>
        <v>26.167999999999999</v>
      </c>
      <c r="G386" s="33">
        <v>471732</v>
      </c>
      <c r="H386" s="7">
        <v>1800</v>
      </c>
      <c r="I386" s="7">
        <v>2</v>
      </c>
      <c r="J386" s="8">
        <f t="shared" ref="J386:J392" si="150">G386/H386/60*I386</f>
        <v>8.735777777777777</v>
      </c>
      <c r="K386" s="7">
        <f>3488.75+18000+1900000</f>
        <v>1921488.75</v>
      </c>
      <c r="L386" s="7">
        <v>846721</v>
      </c>
      <c r="M386" s="7">
        <v>2</v>
      </c>
      <c r="N386" s="8">
        <f t="shared" si="139"/>
        <v>4.5386585427785544</v>
      </c>
      <c r="O386" s="8">
        <f t="shared" si="148"/>
        <v>39.442436320556332</v>
      </c>
      <c r="P386" s="8">
        <f t="shared" si="140"/>
        <v>11.911615768808012</v>
      </c>
      <c r="Q386" s="68">
        <f t="shared" si="138"/>
        <v>40.231285046967457</v>
      </c>
      <c r="R386" s="117">
        <f>6.3/17+4200/34+1.52+9.36*4/17+10.02*18/17+6.5*7/17+16.4/17+25.642*3/17+1.54+116.2376/40+0.64/40+0.8/17+3.1612*3/17+0.5</f>
        <v>151.96485764705884</v>
      </c>
      <c r="S386" s="117">
        <v>151.96485764705884</v>
      </c>
      <c r="T386" s="118">
        <f>S386*1</f>
        <v>151.96485764705884</v>
      </c>
      <c r="U386" s="9">
        <f t="shared" si="145"/>
        <v>248.08885332616919</v>
      </c>
      <c r="V386" s="8">
        <f t="shared" si="144"/>
        <v>62.022213331542297</v>
      </c>
      <c r="W386" s="42">
        <v>310</v>
      </c>
      <c r="X386" s="71">
        <v>316</v>
      </c>
      <c r="Y386" s="60">
        <f t="shared" si="142"/>
        <v>0.98101265822784811</v>
      </c>
      <c r="Z386" s="60">
        <f t="shared" si="143"/>
        <v>-1.8987341772151889E-2</v>
      </c>
      <c r="AB386" s="5"/>
      <c r="AC386" s="5"/>
    </row>
    <row r="387" spans="1:34" ht="15" customHeight="1" x14ac:dyDescent="0.2">
      <c r="A387" s="36" t="s">
        <v>698</v>
      </c>
      <c r="B387" s="27" t="s">
        <v>759</v>
      </c>
      <c r="C387" s="21">
        <v>942048</v>
      </c>
      <c r="D387" s="7">
        <v>1800</v>
      </c>
      <c r="E387" s="7">
        <v>1</v>
      </c>
      <c r="F387" s="8">
        <f t="shared" si="149"/>
        <v>8.722666666666667</v>
      </c>
      <c r="G387" s="33">
        <v>471732</v>
      </c>
      <c r="H387" s="7">
        <v>1800</v>
      </c>
      <c r="I387" s="7">
        <v>2</v>
      </c>
      <c r="J387" s="8">
        <f t="shared" si="150"/>
        <v>8.735777777777777</v>
      </c>
      <c r="K387" s="7">
        <v>1921488.75</v>
      </c>
      <c r="L387" s="7">
        <v>846721</v>
      </c>
      <c r="M387" s="7">
        <v>1</v>
      </c>
      <c r="N387" s="75">
        <f t="shared" si="139"/>
        <v>2.2693292713892772</v>
      </c>
      <c r="O387" s="75">
        <f t="shared" si="148"/>
        <v>19.727773715833724</v>
      </c>
      <c r="P387" s="75">
        <f t="shared" si="140"/>
        <v>5.9577876621817847</v>
      </c>
      <c r="Q387" s="68">
        <f t="shared" si="138"/>
        <v>20.122329190150399</v>
      </c>
      <c r="R387" s="55">
        <f>6.3/17+7100/34+1.52+9.36*4/17+10.02*18/17+6.5*7/17+16.4/17+25.642*3/17+1.54+116.2376/40+0.64/40+0.8/17+3.1612*3/17+0.3</f>
        <v>237.05897529411763</v>
      </c>
      <c r="S387" s="55">
        <v>237.05897529411763</v>
      </c>
      <c r="T387" s="78">
        <f t="shared" si="141"/>
        <v>237.05897529411763</v>
      </c>
      <c r="U387" s="9">
        <f t="shared" si="145"/>
        <v>285.1361951336728</v>
      </c>
      <c r="V387" s="75">
        <f t="shared" si="144"/>
        <v>71.2840487834182</v>
      </c>
      <c r="W387" s="42">
        <v>356</v>
      </c>
      <c r="X387" s="71">
        <v>351.5067429612086</v>
      </c>
      <c r="Y387" s="60">
        <f t="shared" si="142"/>
        <v>1.0127828473529092</v>
      </c>
      <c r="Z387" s="60">
        <f t="shared" si="143"/>
        <v>1.2782847352909243E-2</v>
      </c>
      <c r="AB387" s="5"/>
      <c r="AC387" s="5"/>
    </row>
    <row r="388" spans="1:34" ht="15" customHeight="1" x14ac:dyDescent="0.2">
      <c r="A388" s="36" t="s">
        <v>699</v>
      </c>
      <c r="B388" s="27" t="s">
        <v>760</v>
      </c>
      <c r="C388" s="21">
        <v>942048</v>
      </c>
      <c r="D388" s="7">
        <v>1800</v>
      </c>
      <c r="E388" s="7">
        <v>4</v>
      </c>
      <c r="F388" s="8">
        <f t="shared" si="149"/>
        <v>34.890666666666668</v>
      </c>
      <c r="G388" s="33">
        <v>471732</v>
      </c>
      <c r="H388" s="7">
        <v>1800</v>
      </c>
      <c r="I388" s="7">
        <v>3</v>
      </c>
      <c r="J388" s="8">
        <f t="shared" si="150"/>
        <v>13.103666666666665</v>
      </c>
      <c r="K388" s="7">
        <v>1921488.75</v>
      </c>
      <c r="L388" s="7">
        <v>846721</v>
      </c>
      <c r="M388" s="7">
        <v>3</v>
      </c>
      <c r="N388" s="75">
        <f t="shared" si="139"/>
        <v>6.8079878141678316</v>
      </c>
      <c r="O388" s="75">
        <f t="shared" si="148"/>
        <v>54.802321147501161</v>
      </c>
      <c r="P388" s="75">
        <f t="shared" si="140"/>
        <v>16.550300986545349</v>
      </c>
      <c r="Q388" s="68">
        <f t="shared" si="138"/>
        <v>55.898367570451185</v>
      </c>
      <c r="R388" s="55">
        <v>126.56877921568628</v>
      </c>
      <c r="S388" s="55">
        <v>126.56877921568628</v>
      </c>
      <c r="T388" s="78">
        <f>S388*1-10</f>
        <v>116.56877921568628</v>
      </c>
      <c r="U388" s="9">
        <f t="shared" si="145"/>
        <v>250.62775673435181</v>
      </c>
      <c r="V388" s="75">
        <f t="shared" si="144"/>
        <v>62.656939183587951</v>
      </c>
      <c r="W388" s="42">
        <v>313</v>
      </c>
      <c r="X388" s="71">
        <v>307.8066647169594</v>
      </c>
      <c r="Y388" s="60">
        <f t="shared" si="142"/>
        <v>1.016872068991151</v>
      </c>
      <c r="Z388" s="60">
        <f t="shared" si="143"/>
        <v>1.6872068991151012E-2</v>
      </c>
      <c r="AB388" s="5"/>
      <c r="AC388" s="5"/>
    </row>
    <row r="389" spans="1:34" ht="15" customHeight="1" x14ac:dyDescent="0.2">
      <c r="A389" s="36" t="s">
        <v>919</v>
      </c>
      <c r="B389" s="27" t="s">
        <v>761</v>
      </c>
      <c r="C389" s="21">
        <v>942048</v>
      </c>
      <c r="D389" s="7">
        <v>1800</v>
      </c>
      <c r="E389" s="7">
        <v>3</v>
      </c>
      <c r="F389" s="8">
        <f t="shared" si="149"/>
        <v>26.167999999999999</v>
      </c>
      <c r="G389" s="33">
        <v>471732</v>
      </c>
      <c r="H389" s="7">
        <v>1800</v>
      </c>
      <c r="I389" s="7">
        <v>2</v>
      </c>
      <c r="J389" s="8">
        <f t="shared" si="150"/>
        <v>8.735777777777777</v>
      </c>
      <c r="K389" s="7">
        <v>1921488.75</v>
      </c>
      <c r="L389" s="7">
        <v>846721</v>
      </c>
      <c r="M389" s="7">
        <v>3</v>
      </c>
      <c r="N389" s="75">
        <f t="shared" si="139"/>
        <v>6.8079878141678316</v>
      </c>
      <c r="O389" s="75">
        <f t="shared" si="148"/>
        <v>41.711765591945607</v>
      </c>
      <c r="P389" s="75">
        <f t="shared" si="140"/>
        <v>12.596953208767573</v>
      </c>
      <c r="Q389" s="68">
        <f t="shared" si="138"/>
        <v>42.546000903784517</v>
      </c>
      <c r="R389" s="55">
        <v>126.56877921568628</v>
      </c>
      <c r="S389" s="55">
        <v>126.56877921568628</v>
      </c>
      <c r="T389" s="78">
        <f t="shared" ref="T389:T444" si="151">S389*1</f>
        <v>126.56877921568628</v>
      </c>
      <c r="U389" s="9">
        <f t="shared" si="145"/>
        <v>230.23148673435179</v>
      </c>
      <c r="V389" s="75">
        <f t="shared" si="144"/>
        <v>57.557871683587948</v>
      </c>
      <c r="W389" s="42">
        <v>288</v>
      </c>
      <c r="X389" s="71">
        <v>285.42930341793976</v>
      </c>
      <c r="Y389" s="60">
        <f t="shared" si="142"/>
        <v>1.0090064213844789</v>
      </c>
      <c r="Z389" s="60">
        <f t="shared" si="143"/>
        <v>9.0064213844789354E-3</v>
      </c>
      <c r="AB389" s="5"/>
      <c r="AC389" s="5"/>
    </row>
    <row r="390" spans="1:34" ht="15" customHeight="1" x14ac:dyDescent="0.2">
      <c r="A390" s="36" t="s">
        <v>700</v>
      </c>
      <c r="B390" s="27" t="s">
        <v>754</v>
      </c>
      <c r="C390" s="21">
        <v>942048</v>
      </c>
      <c r="D390" s="7">
        <v>1800</v>
      </c>
      <c r="E390" s="7">
        <v>2</v>
      </c>
      <c r="F390" s="8">
        <f t="shared" si="149"/>
        <v>17.445333333333334</v>
      </c>
      <c r="G390" s="33">
        <v>471732</v>
      </c>
      <c r="H390" s="7">
        <v>1800</v>
      </c>
      <c r="I390" s="7">
        <v>3</v>
      </c>
      <c r="J390" s="8">
        <f t="shared" si="150"/>
        <v>13.103666666666665</v>
      </c>
      <c r="K390" s="7">
        <v>1921488.75</v>
      </c>
      <c r="L390" s="7">
        <v>846721</v>
      </c>
      <c r="M390" s="7">
        <v>2</v>
      </c>
      <c r="N390" s="75">
        <f t="shared" si="139"/>
        <v>4.5386585427785544</v>
      </c>
      <c r="O390" s="75">
        <f t="shared" si="148"/>
        <v>35.087658542778556</v>
      </c>
      <c r="P390" s="75">
        <f t="shared" si="140"/>
        <v>10.596472879919123</v>
      </c>
      <c r="Q390" s="68">
        <f t="shared" si="138"/>
        <v>35.789411713634131</v>
      </c>
      <c r="R390" s="55">
        <f>6.3/17+7347/34+1.52+9.36*4/17+10.02*18/17+6.5*7/17+16.4/17+25.642*3/17+1.54+116.2376/40+0.64/40+0.8/17+3.1612*3/17+0.3</f>
        <v>244.32368117647061</v>
      </c>
      <c r="S390" s="55">
        <v>244.32368117647061</v>
      </c>
      <c r="T390" s="78">
        <f>S390*1-10</f>
        <v>234.32368117647061</v>
      </c>
      <c r="U390" s="9">
        <f t="shared" si="145"/>
        <v>320.33588285558096</v>
      </c>
      <c r="V390" s="75">
        <f t="shared" si="144"/>
        <v>80.083970713895241</v>
      </c>
      <c r="W390" s="42">
        <v>400</v>
      </c>
      <c r="X390" s="71">
        <v>384.57465092241739</v>
      </c>
      <c r="Y390" s="60">
        <f t="shared" si="142"/>
        <v>1.0401101555720957</v>
      </c>
      <c r="Z390" s="60">
        <f t="shared" si="143"/>
        <v>4.011015557209574E-2</v>
      </c>
      <c r="AB390" s="5"/>
      <c r="AC390" s="5"/>
    </row>
    <row r="391" spans="1:34" ht="15" customHeight="1" x14ac:dyDescent="0.2">
      <c r="A391" s="36" t="s">
        <v>701</v>
      </c>
      <c r="B391" s="27" t="s">
        <v>751</v>
      </c>
      <c r="C391" s="21">
        <v>942048</v>
      </c>
      <c r="D391" s="7">
        <v>1800</v>
      </c>
      <c r="E391" s="7">
        <v>6</v>
      </c>
      <c r="F391" s="8">
        <f t="shared" si="149"/>
        <v>52.335999999999999</v>
      </c>
      <c r="G391" s="33">
        <v>471732</v>
      </c>
      <c r="H391" s="7">
        <v>1800</v>
      </c>
      <c r="I391" s="7">
        <v>7</v>
      </c>
      <c r="J391" s="8">
        <f t="shared" si="150"/>
        <v>30.575222222222219</v>
      </c>
      <c r="K391" s="7">
        <v>1921488.75</v>
      </c>
      <c r="L391" s="7">
        <v>846721</v>
      </c>
      <c r="M391" s="7">
        <v>5</v>
      </c>
      <c r="N391" s="75">
        <f t="shared" si="139"/>
        <v>11.346646356946387</v>
      </c>
      <c r="O391" s="75">
        <f t="shared" si="148"/>
        <v>94.257868579168615</v>
      </c>
      <c r="P391" s="75">
        <f t="shared" si="140"/>
        <v>28.465876310908921</v>
      </c>
      <c r="Q391" s="68">
        <f t="shared" si="138"/>
        <v>96.143025950751991</v>
      </c>
      <c r="R391" s="55">
        <f>6.3/17+2950/34+1.52+9.36*4/17+10.02*18/17+6.5*7/17+16.4/17+25.642*3/17+1.54+116.2376/40+0.64/40+0.8/17+3.1612*3/17+0.3</f>
        <v>115.00015176470589</v>
      </c>
      <c r="S391" s="55">
        <v>115.00015176470589</v>
      </c>
      <c r="T391" s="78">
        <f>S391*1-10</f>
        <v>105.00015176470589</v>
      </c>
      <c r="U391" s="9">
        <f t="shared" si="145"/>
        <v>335.21356896248182</v>
      </c>
      <c r="V391" s="75">
        <f t="shared" si="144"/>
        <v>83.803392240620454</v>
      </c>
      <c r="W391" s="42">
        <v>419</v>
      </c>
      <c r="X391" s="71">
        <v>402.88250870310219</v>
      </c>
      <c r="Y391" s="60">
        <f t="shared" ref="Y391:Y445" si="152">W391/X391</f>
        <v>1.0400054381829105</v>
      </c>
      <c r="Z391" s="60">
        <f t="shared" si="143"/>
        <v>4.0005438182910469E-2</v>
      </c>
      <c r="AB391" s="5"/>
      <c r="AC391" s="5"/>
    </row>
    <row r="392" spans="1:34" ht="15" customHeight="1" x14ac:dyDescent="0.2">
      <c r="A392" s="36" t="s">
        <v>702</v>
      </c>
      <c r="B392" s="27" t="s">
        <v>752</v>
      </c>
      <c r="C392" s="21">
        <v>942048</v>
      </c>
      <c r="D392" s="7">
        <v>1800</v>
      </c>
      <c r="E392" s="7">
        <v>5</v>
      </c>
      <c r="F392" s="8">
        <f t="shared" si="149"/>
        <v>43.613333333333337</v>
      </c>
      <c r="G392" s="33">
        <v>471732</v>
      </c>
      <c r="H392" s="7">
        <v>1800</v>
      </c>
      <c r="I392" s="7">
        <v>3</v>
      </c>
      <c r="J392" s="8">
        <f t="shared" si="150"/>
        <v>13.103666666666665</v>
      </c>
      <c r="K392" s="7">
        <v>1921488.75</v>
      </c>
      <c r="L392" s="7">
        <v>846721</v>
      </c>
      <c r="M392" s="7">
        <v>2</v>
      </c>
      <c r="N392" s="75">
        <f t="shared" si="139"/>
        <v>4.5386585427785544</v>
      </c>
      <c r="O392" s="75">
        <f t="shared" si="148"/>
        <v>61.255658542778555</v>
      </c>
      <c r="P392" s="75">
        <f t="shared" si="140"/>
        <v>18.499208879919124</v>
      </c>
      <c r="Q392" s="68">
        <f t="shared" si="138"/>
        <v>62.480771713634127</v>
      </c>
      <c r="R392" s="55">
        <f>6.3/17+5200/34+1.52+9.36*4/17+10.02*18/17+6.5*7/17+16.4/17+25.642*3/17+1.54+116.2376/40+0.64/40+0.8/17+3.1612*3/17+0.3</f>
        <v>181.17662235294117</v>
      </c>
      <c r="S392" s="55">
        <v>181.17662235294117</v>
      </c>
      <c r="T392" s="78">
        <f>S392*1-30</f>
        <v>151.17662235294117</v>
      </c>
      <c r="U392" s="9">
        <f t="shared" si="145"/>
        <v>297.9509200320515</v>
      </c>
      <c r="V392" s="75">
        <f t="shared" si="144"/>
        <v>74.487730008012875</v>
      </c>
      <c r="W392" s="42">
        <v>372</v>
      </c>
      <c r="X392" s="71">
        <v>359.54738195182915</v>
      </c>
      <c r="Y392" s="60">
        <f t="shared" si="152"/>
        <v>1.0346341502490461</v>
      </c>
      <c r="Z392" s="60">
        <f t="shared" si="143"/>
        <v>3.4634150249046147E-2</v>
      </c>
      <c r="AB392" s="5"/>
      <c r="AC392" s="5"/>
    </row>
    <row r="393" spans="1:34" ht="15" customHeight="1" x14ac:dyDescent="0.2">
      <c r="A393" s="36" t="s">
        <v>703</v>
      </c>
      <c r="B393" s="27" t="s">
        <v>762</v>
      </c>
      <c r="C393" s="21">
        <v>942048</v>
      </c>
      <c r="D393" s="7">
        <v>1800</v>
      </c>
      <c r="E393" s="7">
        <v>2</v>
      </c>
      <c r="F393" s="8">
        <f t="shared" si="149"/>
        <v>17.445333333333334</v>
      </c>
      <c r="G393" s="33">
        <v>471732</v>
      </c>
      <c r="H393" s="7">
        <v>1800</v>
      </c>
      <c r="I393" s="7">
        <v>1</v>
      </c>
      <c r="J393" s="8">
        <f>G393/H393/60*I393</f>
        <v>4.3678888888888885</v>
      </c>
      <c r="K393" s="7">
        <v>1921488.75</v>
      </c>
      <c r="L393" s="7">
        <v>846721</v>
      </c>
      <c r="M393" s="7">
        <v>2</v>
      </c>
      <c r="N393" s="75">
        <f t="shared" si="139"/>
        <v>4.5386585427785544</v>
      </c>
      <c r="O393" s="75">
        <f t="shared" si="148"/>
        <v>26.351880765000779</v>
      </c>
      <c r="P393" s="75">
        <f t="shared" si="140"/>
        <v>7.958267991030235</v>
      </c>
      <c r="Q393" s="68">
        <f t="shared" si="138"/>
        <v>26.878918380300796</v>
      </c>
      <c r="R393" s="55">
        <f>6.3/17+5600/34+1.52+9.36*4/17+10.02*18/17+6.5*7/17+16.4/17+25.642*3/17+1.54+116.2376/40+0.64/40+0.8/17+3.1612*3/17+0.3</f>
        <v>192.94132823529415</v>
      </c>
      <c r="S393" s="55">
        <v>192.94132823529415</v>
      </c>
      <c r="T393" s="78">
        <f t="shared" si="151"/>
        <v>192.94132823529415</v>
      </c>
      <c r="U393" s="9">
        <f t="shared" si="145"/>
        <v>258.66905391440451</v>
      </c>
      <c r="V393" s="75">
        <f>U393*25%</f>
        <v>64.667263478601129</v>
      </c>
      <c r="W393" s="42">
        <v>323</v>
      </c>
      <c r="X393" s="71">
        <v>309.49751989300569</v>
      </c>
      <c r="Y393" s="60">
        <f t="shared" si="152"/>
        <v>1.0436271027685848</v>
      </c>
      <c r="Z393" s="60">
        <f t="shared" si="143"/>
        <v>4.3627102768584836E-2</v>
      </c>
      <c r="AB393" s="5"/>
      <c r="AC393" s="5"/>
    </row>
    <row r="394" spans="1:34" ht="15" customHeight="1" x14ac:dyDescent="0.2">
      <c r="A394" s="36" t="s">
        <v>704</v>
      </c>
      <c r="B394" s="27" t="s">
        <v>213</v>
      </c>
      <c r="C394" s="21">
        <v>942048</v>
      </c>
      <c r="D394" s="7">
        <v>1800</v>
      </c>
      <c r="E394" s="7">
        <v>7</v>
      </c>
      <c r="F394" s="8">
        <f t="shared" si="149"/>
        <v>61.058666666666667</v>
      </c>
      <c r="G394" s="33">
        <v>471732</v>
      </c>
      <c r="H394" s="7">
        <v>1800</v>
      </c>
      <c r="I394" s="7">
        <v>4</v>
      </c>
      <c r="J394" s="8">
        <f t="shared" ref="J394:J412" si="153">G394/H394/60*I394</f>
        <v>17.471555555555554</v>
      </c>
      <c r="K394" s="7">
        <v>2000070</v>
      </c>
      <c r="L394" s="7">
        <v>846721</v>
      </c>
      <c r="M394" s="7">
        <v>5</v>
      </c>
      <c r="N394" s="75">
        <f t="shared" si="139"/>
        <v>11.810679078468587</v>
      </c>
      <c r="O394" s="75">
        <f t="shared" si="148"/>
        <v>90.340901300690803</v>
      </c>
      <c r="P394" s="75">
        <f t="shared" si="140"/>
        <v>27.282952192808622</v>
      </c>
      <c r="Q394" s="68">
        <f t="shared" si="138"/>
        <v>92.147719326704618</v>
      </c>
      <c r="R394" s="55">
        <f>9.95*2+1+1.99*3+3.16*2+1.7+0.36*2.5+0.277*2.5</f>
        <v>36.482500000000002</v>
      </c>
      <c r="S394" s="55">
        <v>36.482500000000002</v>
      </c>
      <c r="T394" s="78">
        <f t="shared" si="151"/>
        <v>36.482500000000002</v>
      </c>
      <c r="U394" s="9">
        <f t="shared" si="145"/>
        <v>258.06475189867263</v>
      </c>
      <c r="V394" s="75">
        <f>U394*25%</f>
        <v>64.516187974668156</v>
      </c>
      <c r="W394" s="42">
        <v>323</v>
      </c>
      <c r="X394" s="71">
        <v>321.79500487334082</v>
      </c>
      <c r="Y394" s="60">
        <f t="shared" si="152"/>
        <v>1.0037446048211143</v>
      </c>
      <c r="Z394" s="60">
        <f t="shared" si="143"/>
        <v>3.7446048211142724E-3</v>
      </c>
      <c r="AA394" s="14"/>
    </row>
    <row r="395" spans="1:34" ht="15" customHeight="1" x14ac:dyDescent="0.2">
      <c r="A395" s="36" t="s">
        <v>920</v>
      </c>
      <c r="B395" s="27" t="s">
        <v>35</v>
      </c>
      <c r="C395" s="7"/>
      <c r="D395" s="7"/>
      <c r="E395" s="7">
        <v>0</v>
      </c>
      <c r="F395" s="8"/>
      <c r="G395" s="33">
        <v>471732</v>
      </c>
      <c r="H395" s="7">
        <v>1800</v>
      </c>
      <c r="I395" s="7">
        <v>9</v>
      </c>
      <c r="J395" s="8">
        <f t="shared" si="153"/>
        <v>39.310999999999993</v>
      </c>
      <c r="K395" s="7">
        <v>0</v>
      </c>
      <c r="L395" s="7">
        <v>1</v>
      </c>
      <c r="M395" s="7">
        <v>0</v>
      </c>
      <c r="N395" s="75">
        <f t="shared" si="139"/>
        <v>0</v>
      </c>
      <c r="O395" s="75">
        <f t="shared" si="148"/>
        <v>39.310999999999993</v>
      </c>
      <c r="P395" s="75">
        <f t="shared" si="140"/>
        <v>11.871921999999998</v>
      </c>
      <c r="Q395" s="68">
        <f t="shared" si="138"/>
        <v>40.097219999999993</v>
      </c>
      <c r="R395" s="55">
        <f>9.95+3.1+1.54*5+1.99*3+3.16*2+1.11*2+12.05*0.05</f>
        <v>35.862499999999997</v>
      </c>
      <c r="S395" s="55">
        <v>35.862499999999997</v>
      </c>
      <c r="T395" s="78">
        <f t="shared" si="151"/>
        <v>35.862499999999997</v>
      </c>
      <c r="U395" s="9">
        <f t="shared" si="145"/>
        <v>127.14264199999998</v>
      </c>
      <c r="V395" s="75">
        <f t="shared" ref="V395:V400" si="154">U395*25%</f>
        <v>31.785660499999995</v>
      </c>
      <c r="W395" s="42">
        <v>159</v>
      </c>
      <c r="X395" s="71">
        <v>157.98164</v>
      </c>
      <c r="Y395" s="60">
        <f t="shared" si="152"/>
        <v>1.0064460655048271</v>
      </c>
      <c r="Z395" s="60">
        <f t="shared" si="143"/>
        <v>6.4460655048270699E-3</v>
      </c>
      <c r="AA395" s="14"/>
    </row>
    <row r="396" spans="1:34" s="47" customFormat="1" ht="15" customHeight="1" x14ac:dyDescent="0.2">
      <c r="A396" s="36" t="s">
        <v>705</v>
      </c>
      <c r="B396" s="27" t="s">
        <v>214</v>
      </c>
      <c r="C396" s="21">
        <v>942048</v>
      </c>
      <c r="D396" s="7">
        <v>1800</v>
      </c>
      <c r="E396" s="7">
        <v>5</v>
      </c>
      <c r="F396" s="8">
        <f t="shared" ref="F396:F412" si="155">C396/D396/60*E396</f>
        <v>43.613333333333337</v>
      </c>
      <c r="G396" s="33">
        <v>471732</v>
      </c>
      <c r="H396" s="7">
        <v>1800</v>
      </c>
      <c r="I396" s="7">
        <v>3</v>
      </c>
      <c r="J396" s="8">
        <f t="shared" si="153"/>
        <v>13.103666666666665</v>
      </c>
      <c r="K396" s="7">
        <v>13000</v>
      </c>
      <c r="L396" s="7">
        <v>846721</v>
      </c>
      <c r="M396" s="7">
        <v>6</v>
      </c>
      <c r="N396" s="75">
        <f t="shared" si="139"/>
        <v>9.2120072609513645E-2</v>
      </c>
      <c r="O396" s="75">
        <f t="shared" si="148"/>
        <v>56.80912007260951</v>
      </c>
      <c r="P396" s="75">
        <f t="shared" si="140"/>
        <v>17.156354261928072</v>
      </c>
      <c r="Q396" s="68">
        <f t="shared" si="138"/>
        <v>57.945302474061698</v>
      </c>
      <c r="R396" s="55">
        <f>9.95*2+0.36*2.5+0.277*2.5+1+1.99*3+3.16*2+3.1+1.54*5+1.99*3</f>
        <v>51.552500000000002</v>
      </c>
      <c r="S396" s="55">
        <v>51.552500000000002</v>
      </c>
      <c r="T396" s="78">
        <f t="shared" si="151"/>
        <v>51.552500000000002</v>
      </c>
      <c r="U396" s="9">
        <f t="shared" si="145"/>
        <v>183.55539688120879</v>
      </c>
      <c r="V396" s="75">
        <f t="shared" si="154"/>
        <v>45.888849220302198</v>
      </c>
      <c r="W396" s="42">
        <v>229</v>
      </c>
      <c r="X396" s="71">
        <v>225.84148360151104</v>
      </c>
      <c r="Y396" s="60">
        <f t="shared" si="152"/>
        <v>1.013985545738187</v>
      </c>
      <c r="Z396" s="60">
        <f t="shared" si="143"/>
        <v>1.3985545738187E-2</v>
      </c>
      <c r="AA396" s="14"/>
      <c r="AC396" s="16"/>
      <c r="AD396" s="5"/>
      <c r="AE396" s="5"/>
      <c r="AF396" s="5"/>
      <c r="AG396" s="5"/>
      <c r="AH396" s="5"/>
    </row>
    <row r="397" spans="1:34" s="47" customFormat="1" ht="15" customHeight="1" x14ac:dyDescent="0.2">
      <c r="A397" s="36" t="s">
        <v>706</v>
      </c>
      <c r="B397" s="27" t="s">
        <v>36</v>
      </c>
      <c r="C397" s="21">
        <v>942048</v>
      </c>
      <c r="D397" s="7">
        <v>1800</v>
      </c>
      <c r="E397" s="7">
        <v>4</v>
      </c>
      <c r="F397" s="8">
        <f t="shared" si="155"/>
        <v>34.890666666666668</v>
      </c>
      <c r="G397" s="33">
        <v>471732</v>
      </c>
      <c r="H397" s="7">
        <v>1800</v>
      </c>
      <c r="I397" s="7">
        <v>3</v>
      </c>
      <c r="J397" s="8">
        <f t="shared" si="153"/>
        <v>13.103666666666665</v>
      </c>
      <c r="K397" s="7">
        <v>0</v>
      </c>
      <c r="L397" s="7">
        <v>1</v>
      </c>
      <c r="M397" s="7">
        <v>0</v>
      </c>
      <c r="N397" s="75">
        <f t="shared" si="139"/>
        <v>0</v>
      </c>
      <c r="O397" s="75">
        <f t="shared" si="148"/>
        <v>47.99433333333333</v>
      </c>
      <c r="P397" s="75">
        <f t="shared" si="140"/>
        <v>14.494288666666666</v>
      </c>
      <c r="Q397" s="68">
        <f t="shared" si="138"/>
        <v>48.954219999999999</v>
      </c>
      <c r="R397" s="55">
        <f>9.95+3.1+1.54*5+1.99*3+3.16+1.11</f>
        <v>30.99</v>
      </c>
      <c r="S397" s="55">
        <v>30.99</v>
      </c>
      <c r="T397" s="78">
        <f t="shared" si="151"/>
        <v>30.99</v>
      </c>
      <c r="U397" s="9">
        <f t="shared" si="145"/>
        <v>142.43284199999999</v>
      </c>
      <c r="V397" s="75">
        <f t="shared" si="154"/>
        <v>35.608210499999998</v>
      </c>
      <c r="W397" s="42">
        <v>178</v>
      </c>
      <c r="X397" s="71">
        <v>175.53849</v>
      </c>
      <c r="Y397" s="60">
        <f t="shared" si="152"/>
        <v>1.0140226226168403</v>
      </c>
      <c r="Z397" s="60">
        <f t="shared" si="143"/>
        <v>1.4022622616840286E-2</v>
      </c>
      <c r="AA397" s="14"/>
      <c r="AC397" s="16"/>
      <c r="AD397" s="5"/>
      <c r="AE397" s="5"/>
      <c r="AF397" s="5"/>
      <c r="AG397" s="5"/>
      <c r="AH397" s="5"/>
    </row>
    <row r="398" spans="1:34" s="47" customFormat="1" ht="15" customHeight="1" x14ac:dyDescent="0.2">
      <c r="A398" s="36" t="s">
        <v>707</v>
      </c>
      <c r="B398" s="27" t="s">
        <v>37</v>
      </c>
      <c r="C398" s="21">
        <v>942048</v>
      </c>
      <c r="D398" s="7">
        <v>1800</v>
      </c>
      <c r="E398" s="7">
        <v>5</v>
      </c>
      <c r="F398" s="8">
        <f t="shared" si="155"/>
        <v>43.613333333333337</v>
      </c>
      <c r="G398" s="33">
        <v>471732</v>
      </c>
      <c r="H398" s="7">
        <v>1800</v>
      </c>
      <c r="I398" s="7">
        <v>5</v>
      </c>
      <c r="J398" s="8">
        <f t="shared" si="153"/>
        <v>21.839444444444442</v>
      </c>
      <c r="K398" s="7">
        <v>0</v>
      </c>
      <c r="L398" s="7">
        <v>1</v>
      </c>
      <c r="M398" s="7">
        <v>0</v>
      </c>
      <c r="N398" s="75">
        <f t="shared" si="139"/>
        <v>0</v>
      </c>
      <c r="O398" s="75">
        <f t="shared" si="148"/>
        <v>65.452777777777783</v>
      </c>
      <c r="P398" s="75">
        <f t="shared" si="140"/>
        <v>19.766738888888892</v>
      </c>
      <c r="Q398" s="68">
        <f t="shared" si="138"/>
        <v>66.761833333333342</v>
      </c>
      <c r="R398" s="55">
        <f>7.95+3.1+1.54*5+1.99*23.16*2+1.11*2</f>
        <v>113.1468</v>
      </c>
      <c r="S398" s="55">
        <v>113.1468</v>
      </c>
      <c r="T398" s="78">
        <f>S398*1-20</f>
        <v>93.146799999999999</v>
      </c>
      <c r="U398" s="9">
        <f t="shared" si="145"/>
        <v>245.12815000000001</v>
      </c>
      <c r="V398" s="75">
        <f t="shared" si="154"/>
        <v>61.282037500000001</v>
      </c>
      <c r="W398" s="42">
        <v>306</v>
      </c>
      <c r="X398" s="71">
        <v>302.95869000000005</v>
      </c>
      <c r="Y398" s="60">
        <f t="shared" si="152"/>
        <v>1.0100386953746068</v>
      </c>
      <c r="Z398" s="60">
        <f t="shared" si="143"/>
        <v>1.0038695374606776E-2</v>
      </c>
      <c r="AA398" s="14"/>
      <c r="AC398" s="16"/>
      <c r="AD398" s="5"/>
      <c r="AE398" s="5"/>
      <c r="AF398" s="5"/>
      <c r="AG398" s="5"/>
      <c r="AH398" s="5"/>
    </row>
    <row r="399" spans="1:34" s="47" customFormat="1" ht="15" customHeight="1" x14ac:dyDescent="0.2">
      <c r="A399" s="36" t="s">
        <v>708</v>
      </c>
      <c r="B399" s="27" t="s">
        <v>38</v>
      </c>
      <c r="C399" s="21">
        <v>942048</v>
      </c>
      <c r="D399" s="7">
        <v>1800</v>
      </c>
      <c r="E399" s="7">
        <v>6</v>
      </c>
      <c r="F399" s="8">
        <f t="shared" si="155"/>
        <v>52.335999999999999</v>
      </c>
      <c r="G399" s="33">
        <v>471732</v>
      </c>
      <c r="H399" s="7">
        <v>1800</v>
      </c>
      <c r="I399" s="7">
        <v>4</v>
      </c>
      <c r="J399" s="8">
        <f t="shared" si="153"/>
        <v>17.471555555555554</v>
      </c>
      <c r="K399" s="7">
        <v>18500</v>
      </c>
      <c r="L399" s="7">
        <v>846721</v>
      </c>
      <c r="M399" s="7">
        <v>7</v>
      </c>
      <c r="N399" s="75">
        <f t="shared" si="139"/>
        <v>0.15294294106323097</v>
      </c>
      <c r="O399" s="75">
        <f t="shared" si="148"/>
        <v>69.960498496618783</v>
      </c>
      <c r="P399" s="75">
        <f t="shared" si="140"/>
        <v>21.128070545978872</v>
      </c>
      <c r="Q399" s="68">
        <f t="shared" si="138"/>
        <v>71.359708466551155</v>
      </c>
      <c r="R399" s="55">
        <f>9.95+0.57*2+3.16+1.11</f>
        <v>15.36</v>
      </c>
      <c r="S399" s="55">
        <v>15.36</v>
      </c>
      <c r="T399" s="78">
        <f t="shared" si="151"/>
        <v>15.36</v>
      </c>
      <c r="U399" s="9">
        <f t="shared" si="145"/>
        <v>177.96122045021207</v>
      </c>
      <c r="V399" s="75">
        <f t="shared" si="154"/>
        <v>44.490305112553017</v>
      </c>
      <c r="W399" s="42">
        <v>222</v>
      </c>
      <c r="X399" s="71">
        <v>213.89141556276508</v>
      </c>
      <c r="Y399" s="60">
        <f t="shared" si="152"/>
        <v>1.0379098170719034</v>
      </c>
      <c r="Z399" s="60">
        <f t="shared" si="143"/>
        <v>3.790981707190344E-2</v>
      </c>
      <c r="AA399" s="14"/>
      <c r="AC399" s="16"/>
      <c r="AD399" s="5"/>
      <c r="AE399" s="5"/>
      <c r="AF399" s="5"/>
      <c r="AG399" s="5"/>
      <c r="AH399" s="5"/>
    </row>
    <row r="400" spans="1:34" s="47" customFormat="1" ht="15" customHeight="1" x14ac:dyDescent="0.2">
      <c r="A400" s="36" t="s">
        <v>709</v>
      </c>
      <c r="B400" s="27" t="s">
        <v>215</v>
      </c>
      <c r="C400" s="21">
        <v>942048</v>
      </c>
      <c r="D400" s="7">
        <v>1800</v>
      </c>
      <c r="E400" s="7">
        <v>7</v>
      </c>
      <c r="F400" s="8">
        <f t="shared" si="155"/>
        <v>61.058666666666667</v>
      </c>
      <c r="G400" s="33">
        <v>471732</v>
      </c>
      <c r="H400" s="7">
        <v>1800</v>
      </c>
      <c r="I400" s="7">
        <v>9</v>
      </c>
      <c r="J400" s="8">
        <f t="shared" si="153"/>
        <v>39.310999999999993</v>
      </c>
      <c r="K400" s="7">
        <v>2016831</v>
      </c>
      <c r="L400" s="7">
        <v>846721</v>
      </c>
      <c r="M400" s="7">
        <v>11</v>
      </c>
      <c r="N400" s="75">
        <f t="shared" si="139"/>
        <v>26.201241022721771</v>
      </c>
      <c r="O400" s="75">
        <f t="shared" si="148"/>
        <v>126.57090768938843</v>
      </c>
      <c r="P400" s="75">
        <f t="shared" si="140"/>
        <v>38.224414122195306</v>
      </c>
      <c r="Q400" s="68">
        <f t="shared" si="138"/>
        <v>129.1023258431762</v>
      </c>
      <c r="R400" s="55">
        <f>9.95*3+3.1*2+1.54*10+1.99*6+3.16*3+1.11*2+1.54*7+0.66+0.66*4+6.6+5</f>
        <v>100.76999999999998</v>
      </c>
      <c r="S400" s="55">
        <v>100.76999999999998</v>
      </c>
      <c r="T400" s="78">
        <f>S400*1-10</f>
        <v>90.769999999999982</v>
      </c>
      <c r="U400" s="9">
        <f t="shared" si="145"/>
        <v>410.86888867748166</v>
      </c>
      <c r="V400" s="75">
        <f t="shared" si="154"/>
        <v>102.71722216937042</v>
      </c>
      <c r="W400" s="42">
        <v>514</v>
      </c>
      <c r="X400" s="71">
        <v>501.34801334685221</v>
      </c>
      <c r="Y400" s="60">
        <f t="shared" si="152"/>
        <v>1.0252359365477224</v>
      </c>
      <c r="Z400" s="60">
        <f t="shared" si="143"/>
        <v>2.5235936547722382E-2</v>
      </c>
      <c r="AA400" s="14"/>
      <c r="AC400" s="16"/>
      <c r="AD400" s="5"/>
      <c r="AE400" s="5"/>
      <c r="AF400" s="5"/>
      <c r="AG400" s="5"/>
      <c r="AH400" s="5"/>
    </row>
    <row r="401" spans="1:34" s="47" customFormat="1" ht="15" customHeight="1" x14ac:dyDescent="0.2">
      <c r="A401" s="36" t="s">
        <v>710</v>
      </c>
      <c r="B401" s="27" t="s">
        <v>216</v>
      </c>
      <c r="C401" s="21">
        <v>942048</v>
      </c>
      <c r="D401" s="7">
        <v>1800</v>
      </c>
      <c r="E401" s="7">
        <v>6</v>
      </c>
      <c r="F401" s="8">
        <f t="shared" si="155"/>
        <v>52.335999999999999</v>
      </c>
      <c r="G401" s="33">
        <v>471732</v>
      </c>
      <c r="H401" s="7">
        <v>1800</v>
      </c>
      <c r="I401" s="7">
        <v>4</v>
      </c>
      <c r="J401" s="8">
        <f t="shared" si="153"/>
        <v>17.471555555555554</v>
      </c>
      <c r="K401" s="7">
        <v>27155.5</v>
      </c>
      <c r="L401" s="7">
        <v>846721</v>
      </c>
      <c r="M401" s="7">
        <v>4</v>
      </c>
      <c r="N401" s="75">
        <f t="shared" si="139"/>
        <v>0.12828546829475115</v>
      </c>
      <c r="O401" s="75">
        <f t="shared" si="148"/>
        <v>69.935841023850301</v>
      </c>
      <c r="P401" s="75">
        <f t="shared" si="140"/>
        <v>21.120623989202791</v>
      </c>
      <c r="Q401" s="68">
        <f t="shared" si="138"/>
        <v>71.334557844327307</v>
      </c>
      <c r="R401" s="55">
        <f>9.95*2+13.72+1.54*5+9.66+1.11*2+1.99*3+3.16*2+1.7+2</f>
        <v>69.190000000000012</v>
      </c>
      <c r="S401" s="55">
        <v>69.190000000000012</v>
      </c>
      <c r="T401" s="78">
        <f t="shared" si="151"/>
        <v>69.190000000000012</v>
      </c>
      <c r="U401" s="9">
        <f t="shared" si="145"/>
        <v>231.70930832567512</v>
      </c>
      <c r="V401" s="75">
        <f>U401*25%</f>
        <v>57.927327081418781</v>
      </c>
      <c r="W401" s="42">
        <v>290</v>
      </c>
      <c r="X401" s="71">
        <v>278.72076540709395</v>
      </c>
      <c r="Y401" s="60">
        <f t="shared" si="152"/>
        <v>1.0404678660250943</v>
      </c>
      <c r="Z401" s="60">
        <f t="shared" si="143"/>
        <v>4.0467866025094335E-2</v>
      </c>
      <c r="AA401" s="14"/>
      <c r="AC401" s="16"/>
      <c r="AD401" s="5"/>
      <c r="AE401" s="5"/>
      <c r="AF401" s="5"/>
      <c r="AG401" s="5"/>
      <c r="AH401" s="5"/>
    </row>
    <row r="402" spans="1:34" s="47" customFormat="1" ht="15" customHeight="1" x14ac:dyDescent="0.2">
      <c r="A402" s="36" t="s">
        <v>711</v>
      </c>
      <c r="B402" s="27" t="s">
        <v>764</v>
      </c>
      <c r="C402" s="21">
        <v>942048</v>
      </c>
      <c r="D402" s="7">
        <v>1800</v>
      </c>
      <c r="E402" s="7">
        <v>6</v>
      </c>
      <c r="F402" s="8">
        <f t="shared" si="155"/>
        <v>52.335999999999999</v>
      </c>
      <c r="G402" s="33">
        <v>471732</v>
      </c>
      <c r="H402" s="7">
        <v>1800</v>
      </c>
      <c r="I402" s="7">
        <v>4</v>
      </c>
      <c r="J402" s="8">
        <f>G402/H402/60*I402</f>
        <v>17.471555555555554</v>
      </c>
      <c r="K402" s="7">
        <v>33944.25</v>
      </c>
      <c r="L402" s="7">
        <v>846721</v>
      </c>
      <c r="M402" s="7">
        <v>4</v>
      </c>
      <c r="N402" s="75">
        <f>K402/L402*M402</f>
        <v>0.16035624485515299</v>
      </c>
      <c r="O402" s="75">
        <f>F402+J402+N402</f>
        <v>69.967911800410704</v>
      </c>
      <c r="P402" s="75">
        <f>O402*0.302</f>
        <v>21.130309363724031</v>
      </c>
      <c r="Q402" s="68">
        <f>(O402)*102%</f>
        <v>71.367270036418915</v>
      </c>
      <c r="R402" s="55">
        <f>6.1+680/50+3.51*4+116.2376/40+(0.8/17)*4+1.99*3+3.1612*2+(262.42/2)*0.2</f>
        <v>75.368575294117647</v>
      </c>
      <c r="S402" s="55">
        <v>75.368575294117647</v>
      </c>
      <c r="T402" s="78">
        <f t="shared" si="151"/>
        <v>75.368575294117647</v>
      </c>
      <c r="U402" s="9">
        <f t="shared" si="145"/>
        <v>237.99442273952644</v>
      </c>
      <c r="V402" s="75">
        <f>U402*25%</f>
        <v>59.498605684881611</v>
      </c>
      <c r="W402" s="42">
        <v>297</v>
      </c>
      <c r="X402" s="71">
        <v>285.0325146008787</v>
      </c>
      <c r="Y402" s="60">
        <f t="shared" si="152"/>
        <v>1.0419863867667132</v>
      </c>
      <c r="Z402" s="60">
        <f t="shared" si="143"/>
        <v>4.198638676671318E-2</v>
      </c>
      <c r="AA402" s="14"/>
      <c r="AC402" s="16"/>
      <c r="AD402" s="5"/>
      <c r="AE402" s="5"/>
      <c r="AF402" s="5"/>
      <c r="AG402" s="5"/>
      <c r="AH402" s="5"/>
    </row>
    <row r="403" spans="1:34" s="47" customFormat="1" ht="15" customHeight="1" x14ac:dyDescent="0.2">
      <c r="A403" s="36" t="s">
        <v>712</v>
      </c>
      <c r="B403" s="27" t="s">
        <v>312</v>
      </c>
      <c r="C403" s="21">
        <v>942048</v>
      </c>
      <c r="D403" s="7">
        <v>1800</v>
      </c>
      <c r="E403" s="7">
        <v>6</v>
      </c>
      <c r="F403" s="8">
        <f t="shared" si="155"/>
        <v>52.335999999999999</v>
      </c>
      <c r="G403" s="33">
        <v>471732</v>
      </c>
      <c r="H403" s="7">
        <v>1800</v>
      </c>
      <c r="I403" s="7">
        <v>4</v>
      </c>
      <c r="J403" s="8">
        <f t="shared" si="153"/>
        <v>17.471555555555554</v>
      </c>
      <c r="K403" s="7">
        <v>27155.5</v>
      </c>
      <c r="L403" s="7">
        <v>846721</v>
      </c>
      <c r="M403" s="7">
        <v>9</v>
      </c>
      <c r="N403" s="75">
        <f t="shared" ref="N403:N411" si="156">K403/L403*M403</f>
        <v>0.2886423036631901</v>
      </c>
      <c r="O403" s="75">
        <f t="shared" ref="O403:O411" si="157">F403+J403+N403</f>
        <v>70.096197859218748</v>
      </c>
      <c r="P403" s="75">
        <f t="shared" ref="P403:P412" si="158">O403*0.302</f>
        <v>21.169051753484062</v>
      </c>
      <c r="Q403" s="68">
        <f t="shared" si="138"/>
        <v>71.498121816403128</v>
      </c>
      <c r="R403" s="55">
        <f>9.95*2+13.72+1.54*5+9.66+1.11*2+1.99*3+3.16*2+1.7+2</f>
        <v>69.190000000000012</v>
      </c>
      <c r="S403" s="55">
        <v>69.190000000000012</v>
      </c>
      <c r="T403" s="78">
        <f t="shared" si="151"/>
        <v>69.190000000000012</v>
      </c>
      <c r="U403" s="9">
        <f t="shared" si="145"/>
        <v>232.24201373276912</v>
      </c>
      <c r="V403" s="75">
        <f>U403*25%</f>
        <v>58.060503433192281</v>
      </c>
      <c r="W403" s="42">
        <v>290</v>
      </c>
      <c r="X403" s="71">
        <v>279.38664716596139</v>
      </c>
      <c r="Y403" s="60">
        <f t="shared" si="152"/>
        <v>1.0379880461063482</v>
      </c>
      <c r="Z403" s="60">
        <f t="shared" si="143"/>
        <v>3.7988046106348206E-2</v>
      </c>
      <c r="AA403" s="14"/>
      <c r="AC403" s="16"/>
      <c r="AD403" s="5"/>
      <c r="AE403" s="5"/>
      <c r="AF403" s="5"/>
      <c r="AG403" s="5"/>
      <c r="AH403" s="5"/>
    </row>
    <row r="404" spans="1:34" s="47" customFormat="1" ht="15" customHeight="1" x14ac:dyDescent="0.2">
      <c r="A404" s="36" t="s">
        <v>713</v>
      </c>
      <c r="B404" s="27" t="s">
        <v>313</v>
      </c>
      <c r="C404" s="21">
        <v>942048</v>
      </c>
      <c r="D404" s="7">
        <v>1800</v>
      </c>
      <c r="E404" s="7">
        <v>4</v>
      </c>
      <c r="F404" s="8">
        <f t="shared" si="155"/>
        <v>34.890666666666668</v>
      </c>
      <c r="G404" s="33">
        <v>471732</v>
      </c>
      <c r="H404" s="7">
        <v>1800</v>
      </c>
      <c r="I404" s="7">
        <v>3</v>
      </c>
      <c r="J404" s="8">
        <f t="shared" si="153"/>
        <v>13.103666666666665</v>
      </c>
      <c r="K404" s="7">
        <v>13000</v>
      </c>
      <c r="L404" s="7">
        <v>846721</v>
      </c>
      <c r="M404" s="7">
        <v>3</v>
      </c>
      <c r="N404" s="75">
        <f t="shared" si="156"/>
        <v>4.6060036304756823E-2</v>
      </c>
      <c r="O404" s="75">
        <f t="shared" si="157"/>
        <v>48.040393369638089</v>
      </c>
      <c r="P404" s="75">
        <f t="shared" si="158"/>
        <v>14.508198797630703</v>
      </c>
      <c r="Q404" s="68">
        <f t="shared" si="138"/>
        <v>49.001201237030848</v>
      </c>
      <c r="R404" s="55">
        <f>9.95*2+0.36*2.5+1+8.7209+1.99*3+3.16*2+1.11+3.1</f>
        <v>47.020899999999997</v>
      </c>
      <c r="S404" s="55">
        <v>47.020899999999997</v>
      </c>
      <c r="T404" s="78">
        <f t="shared" si="151"/>
        <v>47.020899999999997</v>
      </c>
      <c r="U404" s="9">
        <f t="shared" si="145"/>
        <v>158.61675344060438</v>
      </c>
      <c r="V404" s="75">
        <f>U404*25%</f>
        <v>39.654188360151096</v>
      </c>
      <c r="W404" s="42">
        <v>198</v>
      </c>
      <c r="X404" s="71">
        <v>195.63440430075553</v>
      </c>
      <c r="Y404" s="60">
        <f t="shared" si="152"/>
        <v>1.0120919206808214</v>
      </c>
      <c r="Z404" s="60">
        <f t="shared" si="143"/>
        <v>1.2091920680821433E-2</v>
      </c>
      <c r="AA404" s="14"/>
      <c r="AC404" s="16"/>
      <c r="AD404" s="5"/>
      <c r="AE404" s="5"/>
      <c r="AF404" s="5"/>
      <c r="AG404" s="5"/>
      <c r="AH404" s="5"/>
    </row>
    <row r="405" spans="1:34" s="47" customFormat="1" ht="15" customHeight="1" x14ac:dyDescent="0.2">
      <c r="A405" s="36" t="s">
        <v>714</v>
      </c>
      <c r="B405" s="27" t="s">
        <v>348</v>
      </c>
      <c r="C405" s="21">
        <v>942048</v>
      </c>
      <c r="D405" s="7">
        <v>1800</v>
      </c>
      <c r="E405" s="7">
        <v>10</v>
      </c>
      <c r="F405" s="8">
        <f t="shared" si="155"/>
        <v>87.226666666666674</v>
      </c>
      <c r="G405" s="33">
        <v>471732</v>
      </c>
      <c r="H405" s="7">
        <v>1800</v>
      </c>
      <c r="I405" s="7">
        <v>5</v>
      </c>
      <c r="J405" s="8">
        <f t="shared" si="153"/>
        <v>21.839444444444442</v>
      </c>
      <c r="K405" s="7">
        <v>0</v>
      </c>
      <c r="L405" s="7">
        <v>1</v>
      </c>
      <c r="M405" s="7">
        <v>0</v>
      </c>
      <c r="N405" s="75">
        <f t="shared" si="156"/>
        <v>0</v>
      </c>
      <c r="O405" s="75">
        <f t="shared" si="157"/>
        <v>109.06611111111111</v>
      </c>
      <c r="P405" s="75">
        <f t="shared" si="158"/>
        <v>32.937965555555557</v>
      </c>
      <c r="Q405" s="68">
        <f t="shared" ref="Q405:Q410" si="159">(O405)*102%</f>
        <v>111.24743333333333</v>
      </c>
      <c r="R405" s="55">
        <f>8.8</f>
        <v>8.8000000000000007</v>
      </c>
      <c r="S405" s="55">
        <v>8.8000000000000007</v>
      </c>
      <c r="T405" s="78">
        <f t="shared" si="151"/>
        <v>8.8000000000000007</v>
      </c>
      <c r="U405" s="9">
        <f t="shared" si="145"/>
        <v>262.05151000000001</v>
      </c>
      <c r="V405" s="75">
        <v>0</v>
      </c>
      <c r="W405" s="42">
        <v>262</v>
      </c>
      <c r="X405" s="71">
        <v>250.530824</v>
      </c>
      <c r="Y405" s="60">
        <f t="shared" si="152"/>
        <v>1.0457795005695587</v>
      </c>
      <c r="Z405" s="60">
        <f t="shared" si="143"/>
        <v>4.5779500569558707E-2</v>
      </c>
      <c r="AA405" s="14"/>
      <c r="AC405" s="16"/>
      <c r="AD405" s="5"/>
      <c r="AE405" s="5"/>
      <c r="AF405" s="5"/>
      <c r="AG405" s="5"/>
      <c r="AH405" s="5"/>
    </row>
    <row r="406" spans="1:34" s="47" customFormat="1" ht="15" customHeight="1" x14ac:dyDescent="0.2">
      <c r="A406" s="36" t="s">
        <v>715</v>
      </c>
      <c r="B406" s="27" t="s">
        <v>349</v>
      </c>
      <c r="C406" s="21">
        <v>942048</v>
      </c>
      <c r="D406" s="7">
        <v>1800</v>
      </c>
      <c r="E406" s="7">
        <v>20</v>
      </c>
      <c r="F406" s="8">
        <f t="shared" si="155"/>
        <v>174.45333333333335</v>
      </c>
      <c r="G406" s="33">
        <v>471732</v>
      </c>
      <c r="H406" s="7">
        <v>1800</v>
      </c>
      <c r="I406" s="7">
        <v>10</v>
      </c>
      <c r="J406" s="8">
        <f t="shared" si="153"/>
        <v>43.678888888888885</v>
      </c>
      <c r="K406" s="7">
        <v>0</v>
      </c>
      <c r="L406" s="7">
        <v>1</v>
      </c>
      <c r="M406" s="7">
        <v>0</v>
      </c>
      <c r="N406" s="75">
        <f t="shared" si="156"/>
        <v>0</v>
      </c>
      <c r="O406" s="75">
        <f t="shared" si="157"/>
        <v>218.13222222222223</v>
      </c>
      <c r="P406" s="75">
        <f t="shared" si="158"/>
        <v>65.875931111111115</v>
      </c>
      <c r="Q406" s="68">
        <f t="shared" si="159"/>
        <v>222.49486666666667</v>
      </c>
      <c r="R406" s="55">
        <f>8.8</f>
        <v>8.8000000000000007</v>
      </c>
      <c r="S406" s="55">
        <v>8.8000000000000007</v>
      </c>
      <c r="T406" s="78">
        <f t="shared" si="151"/>
        <v>8.8000000000000007</v>
      </c>
      <c r="U406" s="9">
        <f t="shared" si="145"/>
        <v>515.30301999999995</v>
      </c>
      <c r="V406" s="75">
        <v>0</v>
      </c>
      <c r="W406" s="42">
        <v>515</v>
      </c>
      <c r="X406" s="71">
        <v>509.82288800000003</v>
      </c>
      <c r="Y406" s="60">
        <f t="shared" si="152"/>
        <v>1.0101547265174959</v>
      </c>
      <c r="Z406" s="60">
        <f t="shared" si="143"/>
        <v>1.0154726517495938E-2</v>
      </c>
      <c r="AA406" s="14"/>
      <c r="AC406" s="16"/>
      <c r="AD406" s="5"/>
      <c r="AE406" s="5"/>
      <c r="AF406" s="5"/>
      <c r="AG406" s="5"/>
      <c r="AH406" s="5"/>
    </row>
    <row r="407" spans="1:34" s="47" customFormat="1" ht="15" customHeight="1" x14ac:dyDescent="0.2">
      <c r="A407" s="36" t="s">
        <v>716</v>
      </c>
      <c r="B407" s="27" t="s">
        <v>350</v>
      </c>
      <c r="C407" s="21">
        <v>942048</v>
      </c>
      <c r="D407" s="7">
        <v>1800</v>
      </c>
      <c r="E407" s="7">
        <v>11</v>
      </c>
      <c r="F407" s="8">
        <f t="shared" si="155"/>
        <v>95.949333333333342</v>
      </c>
      <c r="G407" s="33">
        <v>471732</v>
      </c>
      <c r="H407" s="7">
        <v>1800</v>
      </c>
      <c r="I407" s="7">
        <v>11</v>
      </c>
      <c r="J407" s="8">
        <f t="shared" si="153"/>
        <v>48.046777777777777</v>
      </c>
      <c r="K407" s="7">
        <v>0</v>
      </c>
      <c r="L407" s="7">
        <v>1</v>
      </c>
      <c r="M407" s="7">
        <v>0</v>
      </c>
      <c r="N407" s="75">
        <f t="shared" si="156"/>
        <v>0</v>
      </c>
      <c r="O407" s="75">
        <f t="shared" si="157"/>
        <v>143.99611111111113</v>
      </c>
      <c r="P407" s="75">
        <f t="shared" si="158"/>
        <v>43.486825555555562</v>
      </c>
      <c r="Q407" s="68">
        <f t="shared" si="159"/>
        <v>146.87603333333337</v>
      </c>
      <c r="R407" s="55">
        <v>8.8000000000000007</v>
      </c>
      <c r="S407" s="55">
        <v>8.8000000000000007</v>
      </c>
      <c r="T407" s="78">
        <f t="shared" si="151"/>
        <v>8.8000000000000007</v>
      </c>
      <c r="U407" s="9">
        <f t="shared" si="145"/>
        <v>343.15897000000007</v>
      </c>
      <c r="V407" s="75">
        <v>0</v>
      </c>
      <c r="W407" s="42">
        <v>343</v>
      </c>
      <c r="X407" s="71">
        <v>338.57074399999999</v>
      </c>
      <c r="Y407" s="60">
        <f t="shared" si="152"/>
        <v>1.0130822171687699</v>
      </c>
      <c r="Z407" s="60">
        <f t="shared" si="143"/>
        <v>1.3082217168769894E-2</v>
      </c>
      <c r="AA407" s="14"/>
      <c r="AC407" s="16"/>
      <c r="AD407" s="5"/>
      <c r="AE407" s="5"/>
      <c r="AF407" s="5"/>
      <c r="AG407" s="5"/>
      <c r="AH407" s="5"/>
    </row>
    <row r="408" spans="1:34" s="47" customFormat="1" ht="15" customHeight="1" x14ac:dyDescent="0.2">
      <c r="A408" s="36" t="s">
        <v>717</v>
      </c>
      <c r="B408" s="27" t="s">
        <v>351</v>
      </c>
      <c r="C408" s="21">
        <v>942048</v>
      </c>
      <c r="D408" s="7">
        <v>1800</v>
      </c>
      <c r="E408" s="7">
        <v>15</v>
      </c>
      <c r="F408" s="8">
        <f t="shared" si="155"/>
        <v>130.84</v>
      </c>
      <c r="G408" s="33">
        <v>471732</v>
      </c>
      <c r="H408" s="7">
        <v>1800</v>
      </c>
      <c r="I408" s="7">
        <v>12</v>
      </c>
      <c r="J408" s="8">
        <f t="shared" si="153"/>
        <v>52.414666666666662</v>
      </c>
      <c r="K408" s="7">
        <v>0</v>
      </c>
      <c r="L408" s="7">
        <v>1</v>
      </c>
      <c r="M408" s="7">
        <v>0</v>
      </c>
      <c r="N408" s="75">
        <f t="shared" si="156"/>
        <v>0</v>
      </c>
      <c r="O408" s="75">
        <f t="shared" si="157"/>
        <v>183.25466666666665</v>
      </c>
      <c r="P408" s="75">
        <f t="shared" si="158"/>
        <v>55.342909333333324</v>
      </c>
      <c r="Q408" s="68">
        <f t="shared" si="159"/>
        <v>186.91976</v>
      </c>
      <c r="R408" s="55">
        <v>8.8000000000000007</v>
      </c>
      <c r="S408" s="55">
        <v>8.8000000000000007</v>
      </c>
      <c r="T408" s="78">
        <f t="shared" si="151"/>
        <v>8.8000000000000007</v>
      </c>
      <c r="U408" s="9">
        <f t="shared" si="145"/>
        <v>434.31733600000001</v>
      </c>
      <c r="V408" s="75">
        <v>0</v>
      </c>
      <c r="W408" s="42">
        <v>434</v>
      </c>
      <c r="X408" s="71">
        <v>415.31542400000001</v>
      </c>
      <c r="Y408" s="60">
        <f t="shared" si="152"/>
        <v>1.0449888805478122</v>
      </c>
      <c r="Z408" s="60">
        <f t="shared" si="143"/>
        <v>4.4988880547812249E-2</v>
      </c>
      <c r="AA408" s="14"/>
      <c r="AC408" s="16"/>
      <c r="AD408" s="5"/>
      <c r="AE408" s="5"/>
      <c r="AF408" s="5"/>
      <c r="AG408" s="5"/>
      <c r="AH408" s="5"/>
    </row>
    <row r="409" spans="1:34" s="47" customFormat="1" ht="15" customHeight="1" x14ac:dyDescent="0.2">
      <c r="A409" s="36" t="s">
        <v>718</v>
      </c>
      <c r="B409" s="27" t="s">
        <v>352</v>
      </c>
      <c r="C409" s="21">
        <v>942048</v>
      </c>
      <c r="D409" s="7">
        <v>1800</v>
      </c>
      <c r="E409" s="7">
        <v>15</v>
      </c>
      <c r="F409" s="8">
        <f t="shared" si="155"/>
        <v>130.84</v>
      </c>
      <c r="G409" s="33">
        <v>471732</v>
      </c>
      <c r="H409" s="7">
        <v>1800</v>
      </c>
      <c r="I409" s="7">
        <v>12</v>
      </c>
      <c r="J409" s="8">
        <f t="shared" si="153"/>
        <v>52.414666666666662</v>
      </c>
      <c r="K409" s="7">
        <v>0</v>
      </c>
      <c r="L409" s="7">
        <v>1</v>
      </c>
      <c r="M409" s="7">
        <v>0</v>
      </c>
      <c r="N409" s="75">
        <f t="shared" si="156"/>
        <v>0</v>
      </c>
      <c r="O409" s="75">
        <f t="shared" si="157"/>
        <v>183.25466666666665</v>
      </c>
      <c r="P409" s="75">
        <f t="shared" si="158"/>
        <v>55.342909333333324</v>
      </c>
      <c r="Q409" s="68">
        <f t="shared" si="159"/>
        <v>186.91976</v>
      </c>
      <c r="R409" s="55">
        <v>8.8000000000000007</v>
      </c>
      <c r="S409" s="55">
        <v>8.8000000000000007</v>
      </c>
      <c r="T409" s="78">
        <f t="shared" si="151"/>
        <v>8.8000000000000007</v>
      </c>
      <c r="U409" s="9">
        <f t="shared" si="145"/>
        <v>434.31733600000001</v>
      </c>
      <c r="V409" s="75">
        <v>0</v>
      </c>
      <c r="W409" s="42">
        <v>434</v>
      </c>
      <c r="X409" s="71">
        <v>415.31542400000001</v>
      </c>
      <c r="Y409" s="60">
        <f t="shared" si="152"/>
        <v>1.0449888805478122</v>
      </c>
      <c r="Z409" s="60">
        <f t="shared" si="143"/>
        <v>4.4988880547812249E-2</v>
      </c>
      <c r="AA409" s="14"/>
      <c r="AC409" s="16"/>
      <c r="AD409" s="5"/>
      <c r="AE409" s="5"/>
      <c r="AF409" s="5"/>
      <c r="AG409" s="5"/>
      <c r="AH409" s="5"/>
    </row>
    <row r="410" spans="1:34" s="47" customFormat="1" ht="15" customHeight="1" x14ac:dyDescent="0.2">
      <c r="A410" s="36" t="s">
        <v>736</v>
      </c>
      <c r="B410" s="27" t="s">
        <v>354</v>
      </c>
      <c r="C410" s="21">
        <v>942048</v>
      </c>
      <c r="D410" s="7">
        <v>1800</v>
      </c>
      <c r="E410" s="7">
        <v>11</v>
      </c>
      <c r="F410" s="8">
        <f t="shared" si="155"/>
        <v>95.949333333333342</v>
      </c>
      <c r="G410" s="33">
        <v>471732</v>
      </c>
      <c r="H410" s="7">
        <v>1800</v>
      </c>
      <c r="I410" s="7">
        <v>10</v>
      </c>
      <c r="J410" s="8">
        <f t="shared" si="153"/>
        <v>43.678888888888885</v>
      </c>
      <c r="K410" s="7">
        <v>0</v>
      </c>
      <c r="L410" s="7">
        <v>1</v>
      </c>
      <c r="M410" s="7">
        <v>0</v>
      </c>
      <c r="N410" s="75">
        <f t="shared" si="156"/>
        <v>0</v>
      </c>
      <c r="O410" s="75">
        <f t="shared" si="157"/>
        <v>139.62822222222223</v>
      </c>
      <c r="P410" s="75">
        <f t="shared" si="158"/>
        <v>42.167723111111115</v>
      </c>
      <c r="Q410" s="68">
        <f t="shared" si="159"/>
        <v>142.42078666666669</v>
      </c>
      <c r="R410" s="55">
        <v>8.8000000000000007</v>
      </c>
      <c r="S410" s="55">
        <v>8.8000000000000007</v>
      </c>
      <c r="T410" s="78">
        <f t="shared" si="151"/>
        <v>8.8000000000000007</v>
      </c>
      <c r="U410" s="9">
        <f t="shared" si="145"/>
        <v>333.01673200000005</v>
      </c>
      <c r="V410" s="75">
        <v>0</v>
      </c>
      <c r="W410" s="42">
        <v>333</v>
      </c>
      <c r="X410" s="71">
        <v>320.80795999999998</v>
      </c>
      <c r="Y410" s="60">
        <f t="shared" si="152"/>
        <v>1.0380041692232325</v>
      </c>
      <c r="Z410" s="60">
        <f t="shared" si="143"/>
        <v>3.8004169223232465E-2</v>
      </c>
      <c r="AA410" s="14"/>
      <c r="AC410" s="16"/>
      <c r="AD410" s="5"/>
      <c r="AE410" s="5"/>
      <c r="AF410" s="5"/>
      <c r="AG410" s="5"/>
      <c r="AH410" s="5"/>
    </row>
    <row r="411" spans="1:34" s="47" customFormat="1" ht="15" customHeight="1" x14ac:dyDescent="0.2">
      <c r="A411" s="36" t="s">
        <v>737</v>
      </c>
      <c r="B411" s="27" t="s">
        <v>355</v>
      </c>
      <c r="C411" s="21">
        <v>942048</v>
      </c>
      <c r="D411" s="7">
        <v>1800</v>
      </c>
      <c r="E411" s="7">
        <v>12</v>
      </c>
      <c r="F411" s="8">
        <f t="shared" si="155"/>
        <v>104.672</v>
      </c>
      <c r="G411" s="33">
        <v>471732</v>
      </c>
      <c r="H411" s="7">
        <v>1800</v>
      </c>
      <c r="I411" s="7">
        <v>12</v>
      </c>
      <c r="J411" s="8">
        <f t="shared" si="153"/>
        <v>52.414666666666662</v>
      </c>
      <c r="K411" s="7">
        <v>0</v>
      </c>
      <c r="L411" s="7">
        <v>1</v>
      </c>
      <c r="M411" s="7">
        <v>0</v>
      </c>
      <c r="N411" s="75">
        <f t="shared" si="156"/>
        <v>0</v>
      </c>
      <c r="O411" s="75">
        <f t="shared" si="157"/>
        <v>157.08666666666664</v>
      </c>
      <c r="P411" s="75">
        <f t="shared" si="158"/>
        <v>47.440173333333327</v>
      </c>
      <c r="Q411" s="68">
        <f>(O411)*102%</f>
        <v>160.22839999999999</v>
      </c>
      <c r="R411" s="55">
        <v>8.8000000000000007</v>
      </c>
      <c r="S411" s="55">
        <v>8.8000000000000007</v>
      </c>
      <c r="T411" s="78">
        <f t="shared" si="151"/>
        <v>8.8000000000000007</v>
      </c>
      <c r="U411" s="9">
        <f t="shared" si="145"/>
        <v>373.55523999999997</v>
      </c>
      <c r="V411" s="75">
        <v>0</v>
      </c>
      <c r="W411" s="42">
        <v>374</v>
      </c>
      <c r="X411" s="71">
        <v>365.21492000000001</v>
      </c>
      <c r="Y411" s="60">
        <f t="shared" si="152"/>
        <v>1.0240545484833972</v>
      </c>
      <c r="Z411" s="60">
        <f t="shared" si="143"/>
        <v>2.4054548483397165E-2</v>
      </c>
      <c r="AA411" s="14"/>
      <c r="AC411" s="16"/>
      <c r="AD411" s="5"/>
      <c r="AE411" s="5"/>
      <c r="AF411" s="5"/>
      <c r="AG411" s="5"/>
      <c r="AH411" s="5"/>
    </row>
    <row r="412" spans="1:34" ht="15" customHeight="1" x14ac:dyDescent="0.2">
      <c r="A412" s="36" t="s">
        <v>738</v>
      </c>
      <c r="B412" s="27" t="s">
        <v>360</v>
      </c>
      <c r="C412" s="21">
        <v>942048</v>
      </c>
      <c r="D412" s="7">
        <v>1650</v>
      </c>
      <c r="E412" s="7">
        <v>19</v>
      </c>
      <c r="F412" s="8">
        <f t="shared" si="155"/>
        <v>180.79709090909091</v>
      </c>
      <c r="G412" s="33">
        <v>471732</v>
      </c>
      <c r="H412" s="7">
        <v>1925</v>
      </c>
      <c r="I412" s="7">
        <v>15</v>
      </c>
      <c r="J412" s="8">
        <f t="shared" si="153"/>
        <v>61.263896103896101</v>
      </c>
      <c r="K412" s="7">
        <v>0</v>
      </c>
      <c r="L412" s="7">
        <v>1</v>
      </c>
      <c r="M412" s="7">
        <v>0</v>
      </c>
      <c r="N412" s="75">
        <f>K412/L412*M412</f>
        <v>0</v>
      </c>
      <c r="O412" s="75">
        <f>F412+J412+N412</f>
        <v>242.06098701298703</v>
      </c>
      <c r="P412" s="75">
        <f t="shared" si="158"/>
        <v>73.102418077922081</v>
      </c>
      <c r="Q412" s="68">
        <f>(O412)*102%</f>
        <v>246.90220675324676</v>
      </c>
      <c r="R412" s="55">
        <v>8.8000000000000007</v>
      </c>
      <c r="S412" s="55">
        <v>8.8000000000000007</v>
      </c>
      <c r="T412" s="78">
        <f t="shared" si="151"/>
        <v>8.8000000000000007</v>
      </c>
      <c r="U412" s="9">
        <f t="shared" si="145"/>
        <v>570.86561184415586</v>
      </c>
      <c r="V412" s="75">
        <v>0</v>
      </c>
      <c r="W412" s="42">
        <v>571</v>
      </c>
      <c r="X412" s="71">
        <v>553.24219719480516</v>
      </c>
      <c r="Y412" s="60">
        <f t="shared" si="152"/>
        <v>1.032097701323643</v>
      </c>
      <c r="Z412" s="60">
        <f t="shared" si="143"/>
        <v>3.209770132364298E-2</v>
      </c>
      <c r="AA412" s="14"/>
    </row>
    <row r="413" spans="1:34" ht="15" customHeight="1" x14ac:dyDescent="0.2">
      <c r="A413" s="36" t="s">
        <v>739</v>
      </c>
      <c r="B413" s="27" t="s">
        <v>22</v>
      </c>
      <c r="C413" s="21">
        <v>942048</v>
      </c>
      <c r="D413" s="7">
        <v>1650</v>
      </c>
      <c r="E413" s="7">
        <v>6</v>
      </c>
      <c r="F413" s="8">
        <f t="shared" ref="F413:F446" si="160">C413/D413/60*E413</f>
        <v>57.093818181818186</v>
      </c>
      <c r="G413" s="33">
        <v>471732</v>
      </c>
      <c r="H413" s="7">
        <v>1925</v>
      </c>
      <c r="I413" s="7">
        <v>2</v>
      </c>
      <c r="J413" s="8">
        <f t="shared" ref="J413:J435" si="161">G413/H413/60*I413</f>
        <v>8.1685194805194801</v>
      </c>
      <c r="K413" s="7">
        <v>458430</v>
      </c>
      <c r="L413" s="7">
        <v>846721</v>
      </c>
      <c r="M413" s="7">
        <v>10</v>
      </c>
      <c r="N413" s="75">
        <f t="shared" si="139"/>
        <v>5.4141801136383769</v>
      </c>
      <c r="O413" s="75">
        <f t="shared" ref="O413:O446" si="162">F413+J413+N413</f>
        <v>70.676517775976052</v>
      </c>
      <c r="P413" s="75">
        <f>O413*0.302</f>
        <v>21.344308368344766</v>
      </c>
      <c r="Q413" s="68">
        <f>(O413)*102%</f>
        <v>72.090048131495578</v>
      </c>
      <c r="R413" s="55">
        <f>46.5+2.3+9.95</f>
        <v>58.75</v>
      </c>
      <c r="S413" s="55">
        <v>58.75</v>
      </c>
      <c r="T413" s="78">
        <f t="shared" si="151"/>
        <v>58.75</v>
      </c>
      <c r="U413" s="9">
        <f t="shared" si="145"/>
        <v>228.27505438945479</v>
      </c>
      <c r="V413" s="75">
        <f>U413*25%</f>
        <v>57.068763597363699</v>
      </c>
      <c r="W413" s="42">
        <v>285</v>
      </c>
      <c r="X413" s="71">
        <v>273.57499720759768</v>
      </c>
      <c r="Y413" s="60">
        <f t="shared" si="152"/>
        <v>1.0417618675281668</v>
      </c>
      <c r="Z413" s="60">
        <f t="shared" si="143"/>
        <v>4.1761867528166796E-2</v>
      </c>
      <c r="AA413" s="14"/>
    </row>
    <row r="414" spans="1:34" ht="15" customHeight="1" x14ac:dyDescent="0.2">
      <c r="A414" s="36" t="s">
        <v>740</v>
      </c>
      <c r="B414" s="27" t="s">
        <v>23</v>
      </c>
      <c r="C414" s="21">
        <v>942048</v>
      </c>
      <c r="D414" s="7">
        <v>1650</v>
      </c>
      <c r="E414" s="7">
        <v>4</v>
      </c>
      <c r="F414" s="8">
        <f t="shared" si="160"/>
        <v>38.062545454545457</v>
      </c>
      <c r="G414" s="33">
        <v>471732</v>
      </c>
      <c r="H414" s="7">
        <v>1925</v>
      </c>
      <c r="I414" s="7">
        <v>1</v>
      </c>
      <c r="J414" s="8">
        <f t="shared" si="161"/>
        <v>4.08425974025974</v>
      </c>
      <c r="K414" s="7">
        <v>458430</v>
      </c>
      <c r="L414" s="7">
        <v>846721</v>
      </c>
      <c r="M414" s="7">
        <v>5</v>
      </c>
      <c r="N414" s="75">
        <f t="shared" si="139"/>
        <v>2.7070900568191885</v>
      </c>
      <c r="O414" s="75">
        <f t="shared" si="162"/>
        <v>44.853895251624387</v>
      </c>
      <c r="P414" s="75">
        <f>O414*0.302</f>
        <v>13.545876365990564</v>
      </c>
      <c r="Q414" s="68">
        <f t="shared" ref="Q414:Q446" si="163">(O414)*102%</f>
        <v>45.750973156656876</v>
      </c>
      <c r="R414" s="55">
        <f>46.5+2.3+9.95</f>
        <v>58.75</v>
      </c>
      <c r="S414" s="55">
        <v>58.75</v>
      </c>
      <c r="T414" s="78">
        <f t="shared" si="151"/>
        <v>58.75</v>
      </c>
      <c r="U414" s="9">
        <f t="shared" si="145"/>
        <v>165.60783483109103</v>
      </c>
      <c r="V414" s="75">
        <f>U414*25%</f>
        <v>41.401958707772756</v>
      </c>
      <c r="W414" s="42">
        <v>207</v>
      </c>
      <c r="X414" s="71">
        <v>199.71137561678586</v>
      </c>
      <c r="Y414" s="60">
        <f t="shared" si="152"/>
        <v>1.0364957897901612</v>
      </c>
      <c r="Z414" s="60">
        <f t="shared" si="143"/>
        <v>3.6495789790161215E-2</v>
      </c>
      <c r="AA414" s="14"/>
    </row>
    <row r="415" spans="1:34" ht="15" customHeight="1" x14ac:dyDescent="0.2">
      <c r="A415" s="36" t="s">
        <v>741</v>
      </c>
      <c r="B415" s="27" t="s">
        <v>219</v>
      </c>
      <c r="C415" s="21">
        <v>942048</v>
      </c>
      <c r="D415" s="7">
        <v>1650</v>
      </c>
      <c r="E415" s="7">
        <v>6</v>
      </c>
      <c r="F415" s="8">
        <f t="shared" si="160"/>
        <v>57.093818181818186</v>
      </c>
      <c r="G415" s="33">
        <v>471732</v>
      </c>
      <c r="H415" s="7">
        <v>1925</v>
      </c>
      <c r="I415" s="7">
        <v>2</v>
      </c>
      <c r="J415" s="8">
        <f t="shared" si="161"/>
        <v>8.1685194805194801</v>
      </c>
      <c r="K415" s="7">
        <v>458778</v>
      </c>
      <c r="L415" s="7">
        <v>846721</v>
      </c>
      <c r="M415" s="7">
        <v>5</v>
      </c>
      <c r="N415" s="75">
        <f t="shared" si="139"/>
        <v>2.7091450430543236</v>
      </c>
      <c r="O415" s="75">
        <f t="shared" si="162"/>
        <v>67.971482705391992</v>
      </c>
      <c r="P415" s="75">
        <f t="shared" ref="P415:P446" si="164">O415*0.302</f>
        <v>20.52738777702838</v>
      </c>
      <c r="Q415" s="68">
        <f t="shared" si="163"/>
        <v>69.330912359499834</v>
      </c>
      <c r="R415" s="55">
        <f>46.5+2.3+9.95+9*2+2.5*2+2.28</f>
        <v>84.03</v>
      </c>
      <c r="S415" s="55">
        <v>84.03</v>
      </c>
      <c r="T415" s="78">
        <f t="shared" si="151"/>
        <v>84.03</v>
      </c>
      <c r="U415" s="9">
        <f t="shared" si="145"/>
        <v>244.56892788497453</v>
      </c>
      <c r="V415" s="75">
        <f t="shared" ref="V415:V435" si="165">U415*25%</f>
        <v>61.142231971243632</v>
      </c>
      <c r="W415" s="42">
        <v>306</v>
      </c>
      <c r="X415" s="71">
        <v>293.94233907699737</v>
      </c>
      <c r="Y415" s="60">
        <f t="shared" si="152"/>
        <v>1.0410204972882255</v>
      </c>
      <c r="Z415" s="60">
        <f t="shared" si="143"/>
        <v>4.1020497288225544E-2</v>
      </c>
      <c r="AA415" s="14"/>
    </row>
    <row r="416" spans="1:34" ht="15" customHeight="1" x14ac:dyDescent="0.2">
      <c r="A416" s="36" t="s">
        <v>742</v>
      </c>
      <c r="B416" s="27" t="s">
        <v>229</v>
      </c>
      <c r="C416" s="21">
        <v>942048</v>
      </c>
      <c r="D416" s="7">
        <v>1650</v>
      </c>
      <c r="E416" s="7">
        <v>40</v>
      </c>
      <c r="F416" s="8">
        <f t="shared" si="160"/>
        <v>380.62545454545455</v>
      </c>
      <c r="G416" s="33">
        <v>471732</v>
      </c>
      <c r="H416" s="7">
        <v>1925</v>
      </c>
      <c r="I416" s="7">
        <v>30</v>
      </c>
      <c r="J416" s="8">
        <f t="shared" si="161"/>
        <v>122.5277922077922</v>
      </c>
      <c r="K416" s="7">
        <v>482167.6</v>
      </c>
      <c r="L416" s="7">
        <v>846721</v>
      </c>
      <c r="M416" s="7">
        <v>60</v>
      </c>
      <c r="N416" s="75">
        <f t="shared" si="139"/>
        <v>34.167164863042252</v>
      </c>
      <c r="O416" s="75">
        <f t="shared" si="162"/>
        <v>537.32041161628899</v>
      </c>
      <c r="P416" s="75">
        <f t="shared" si="164"/>
        <v>162.27076430811928</v>
      </c>
      <c r="Q416" s="68">
        <f t="shared" si="163"/>
        <v>548.06681984861473</v>
      </c>
      <c r="R416" s="55">
        <f>48.1+2.9+9.95*2+37.6*5+506.6*0.3+262.5*0.4+295.6+1.65+0.23*6+1.11+1.678*5+1.675*2</f>
        <v>827.36</v>
      </c>
      <c r="S416" s="55">
        <v>827.36</v>
      </c>
      <c r="T416" s="78">
        <f t="shared" si="151"/>
        <v>827.36</v>
      </c>
      <c r="U416" s="9">
        <f t="shared" si="145"/>
        <v>2109.1851606360651</v>
      </c>
      <c r="V416" s="75">
        <f t="shared" si="165"/>
        <v>527.29629015901628</v>
      </c>
      <c r="W416" s="42">
        <v>2636</v>
      </c>
      <c r="X416" s="71">
        <v>2481.2753520937831</v>
      </c>
      <c r="Y416" s="60">
        <f t="shared" si="152"/>
        <v>1.062356903588171</v>
      </c>
      <c r="Z416" s="60">
        <f t="shared" si="143"/>
        <v>6.2356903588171031E-2</v>
      </c>
      <c r="AA416" s="14"/>
    </row>
    <row r="417" spans="1:33" ht="15" customHeight="1" x14ac:dyDescent="0.2">
      <c r="A417" s="36" t="s">
        <v>743</v>
      </c>
      <c r="B417" s="27" t="s">
        <v>270</v>
      </c>
      <c r="C417" s="21">
        <v>942048</v>
      </c>
      <c r="D417" s="7">
        <v>1650</v>
      </c>
      <c r="E417" s="7">
        <v>20</v>
      </c>
      <c r="F417" s="8">
        <f t="shared" si="160"/>
        <v>190.31272727272727</v>
      </c>
      <c r="G417" s="33">
        <v>471732</v>
      </c>
      <c r="H417" s="7">
        <v>1925</v>
      </c>
      <c r="I417" s="7">
        <v>7</v>
      </c>
      <c r="J417" s="8">
        <f t="shared" si="161"/>
        <v>28.589818181818181</v>
      </c>
      <c r="K417" s="7">
        <v>482167.6</v>
      </c>
      <c r="L417" s="7">
        <v>846721</v>
      </c>
      <c r="M417" s="7">
        <v>35</v>
      </c>
      <c r="N417" s="75">
        <f t="shared" si="139"/>
        <v>19.93084617010798</v>
      </c>
      <c r="O417" s="75">
        <f t="shared" si="162"/>
        <v>238.83339162465342</v>
      </c>
      <c r="P417" s="75">
        <f t="shared" si="164"/>
        <v>72.127684270645332</v>
      </c>
      <c r="Q417" s="68">
        <f t="shared" si="163"/>
        <v>243.61005945714649</v>
      </c>
      <c r="R417" s="55">
        <f>48.1+2.9*2+15.74*2+0.23*4+1.5*3+61.5+1.11</f>
        <v>153.41000000000003</v>
      </c>
      <c r="S417" s="55">
        <v>153.41000000000003</v>
      </c>
      <c r="T417" s="78">
        <f t="shared" si="151"/>
        <v>153.41000000000003</v>
      </c>
      <c r="U417" s="9">
        <f t="shared" si="145"/>
        <v>727.91198152255333</v>
      </c>
      <c r="V417" s="75">
        <f t="shared" si="165"/>
        <v>181.97799538063833</v>
      </c>
      <c r="W417" s="42">
        <v>910</v>
      </c>
      <c r="X417" s="71">
        <v>901.59299846163321</v>
      </c>
      <c r="Y417" s="60">
        <f t="shared" si="152"/>
        <v>1.0093246082796909</v>
      </c>
      <c r="Z417" s="60">
        <f t="shared" si="143"/>
        <v>9.3246082796909491E-3</v>
      </c>
      <c r="AA417" s="14"/>
    </row>
    <row r="418" spans="1:33" ht="15" customHeight="1" x14ac:dyDescent="0.2">
      <c r="A418" s="36" t="s">
        <v>744</v>
      </c>
      <c r="B418" s="27" t="s">
        <v>220</v>
      </c>
      <c r="C418" s="21">
        <v>942048</v>
      </c>
      <c r="D418" s="7">
        <v>1650</v>
      </c>
      <c r="E418" s="7">
        <v>20</v>
      </c>
      <c r="F418" s="8">
        <f t="shared" si="160"/>
        <v>190.31272727272727</v>
      </c>
      <c r="G418" s="33">
        <v>471732</v>
      </c>
      <c r="H418" s="7">
        <v>1925</v>
      </c>
      <c r="I418" s="7">
        <v>15</v>
      </c>
      <c r="J418" s="8">
        <f t="shared" si="161"/>
        <v>61.263896103896101</v>
      </c>
      <c r="K418" s="7">
        <v>561942</v>
      </c>
      <c r="L418" s="7">
        <v>846721</v>
      </c>
      <c r="M418" s="7">
        <v>30</v>
      </c>
      <c r="N418" s="75">
        <f t="shared" si="139"/>
        <v>19.910053016282813</v>
      </c>
      <c r="O418" s="75">
        <f t="shared" si="162"/>
        <v>271.48667639290619</v>
      </c>
      <c r="P418" s="75">
        <f t="shared" si="164"/>
        <v>81.988976270657673</v>
      </c>
      <c r="Q418" s="68">
        <f t="shared" si="163"/>
        <v>276.91640992076429</v>
      </c>
      <c r="R418" s="55">
        <f>48.1+2.9*2+15.74*2+1.11+40*4+0.28*5+11.92*5+18.3*0.5+53*2+27.7+0.947*3+1.5*5+210+0.23*8+1106.6*0.3+37.6*5+262.5*0.4+307.6*0.5+1.675*2+1.678*5+1.65+75.5*2</f>
        <v>1615.691</v>
      </c>
      <c r="S418" s="55">
        <f>48.1+2.9*2+15.74*2+1.11+40*4+0.28*5+11.92*5+18.3*0.5+53*2+27.7+0.947*3+1.5*5+210+0.23*8+1106.6*0.3+37.6*5+262.5*0.4+307.6*0.5+1.675*2+1.678*5+1.65+75.5*2</f>
        <v>1615.691</v>
      </c>
      <c r="T418" s="78">
        <f t="shared" si="151"/>
        <v>1615.691</v>
      </c>
      <c r="U418" s="9">
        <f t="shared" si="145"/>
        <v>2265.993115600611</v>
      </c>
      <c r="V418" s="75">
        <f t="shared" si="165"/>
        <v>566.49827890015274</v>
      </c>
      <c r="W418" s="42">
        <v>2832</v>
      </c>
      <c r="X418" s="71">
        <v>2679.9979807827585</v>
      </c>
      <c r="Y418" s="60">
        <f t="shared" si="152"/>
        <v>1.0567172140826933</v>
      </c>
      <c r="Z418" s="60">
        <f t="shared" si="143"/>
        <v>5.6717214082693257E-2</v>
      </c>
      <c r="AA418" s="14"/>
    </row>
    <row r="419" spans="1:33" ht="15" customHeight="1" x14ac:dyDescent="0.2">
      <c r="A419" s="36" t="s">
        <v>865</v>
      </c>
      <c r="B419" s="27" t="s">
        <v>71</v>
      </c>
      <c r="C419" s="21">
        <v>942048</v>
      </c>
      <c r="D419" s="7">
        <v>1650</v>
      </c>
      <c r="E419" s="7">
        <v>22</v>
      </c>
      <c r="F419" s="8">
        <f t="shared" si="160"/>
        <v>209.34400000000002</v>
      </c>
      <c r="G419" s="33">
        <v>471732</v>
      </c>
      <c r="H419" s="7">
        <v>1925</v>
      </c>
      <c r="I419" s="7">
        <v>25</v>
      </c>
      <c r="J419" s="8">
        <f t="shared" si="161"/>
        <v>102.10649350649351</v>
      </c>
      <c r="K419" s="7">
        <v>561942</v>
      </c>
      <c r="L419" s="7">
        <v>846721</v>
      </c>
      <c r="M419" s="7">
        <v>55</v>
      </c>
      <c r="N419" s="75">
        <f t="shared" si="139"/>
        <v>36.501763863185154</v>
      </c>
      <c r="O419" s="75">
        <f t="shared" si="162"/>
        <v>347.9522573696787</v>
      </c>
      <c r="P419" s="75">
        <f t="shared" si="164"/>
        <v>105.08158172564296</v>
      </c>
      <c r="Q419" s="68">
        <f t="shared" si="163"/>
        <v>354.91130251707227</v>
      </c>
      <c r="R419" s="55">
        <f>48.1+2.9*2+15.74*2+1.11+0.23*8+40*4+27.7*1.5+0.947*10+1.5*10+210+0.28*10+11.92*10+305.6+53*3+1060.5*0.3+37.6*0.5+306.5*0.4+265.6+1.675*2+1.678*5+45.5*2+1.65</f>
        <v>1940.49</v>
      </c>
      <c r="S419" s="55">
        <f>48.1+2.9*2+15.74*2+1.11+0.23*8+40*4+27.7*1.5+0.947*10+1.5*10+210+0.28*10+11.92*10+305.6+53*3+1060.5*0.3+37.6*0.5+306.5*0.4+265.6+1.675*2+1.678*5+45.5*2+1.65</f>
        <v>1940.49</v>
      </c>
      <c r="T419" s="78">
        <f t="shared" si="151"/>
        <v>1940.49</v>
      </c>
      <c r="U419" s="9">
        <f t="shared" si="145"/>
        <v>2784.9369054755789</v>
      </c>
      <c r="V419" s="75">
        <f t="shared" si="165"/>
        <v>696.23422636889472</v>
      </c>
      <c r="W419" s="42">
        <v>3481</v>
      </c>
      <c r="X419" s="71">
        <v>3470.829021803022</v>
      </c>
      <c r="Y419" s="60">
        <f t="shared" si="152"/>
        <v>1.0029304175265004</v>
      </c>
      <c r="Z419" s="60">
        <f t="shared" si="143"/>
        <v>2.9304175265003618E-3</v>
      </c>
      <c r="AA419" s="14"/>
    </row>
    <row r="420" spans="1:33" ht="15" customHeight="1" x14ac:dyDescent="0.2">
      <c r="A420" s="36" t="s">
        <v>745</v>
      </c>
      <c r="B420" s="27" t="s">
        <v>72</v>
      </c>
      <c r="C420" s="21">
        <v>942048</v>
      </c>
      <c r="D420" s="7">
        <v>1650</v>
      </c>
      <c r="E420" s="7">
        <v>55</v>
      </c>
      <c r="F420" s="8">
        <f t="shared" si="160"/>
        <v>523.36</v>
      </c>
      <c r="G420" s="33">
        <v>471732</v>
      </c>
      <c r="H420" s="7">
        <v>1925</v>
      </c>
      <c r="I420" s="7">
        <v>25</v>
      </c>
      <c r="J420" s="8">
        <f t="shared" si="161"/>
        <v>102.10649350649351</v>
      </c>
      <c r="K420" s="7">
        <v>561942</v>
      </c>
      <c r="L420" s="7">
        <v>846721</v>
      </c>
      <c r="M420" s="7">
        <v>80</v>
      </c>
      <c r="N420" s="75">
        <f t="shared" si="139"/>
        <v>53.093474710087499</v>
      </c>
      <c r="O420" s="75">
        <f t="shared" si="162"/>
        <v>678.55996821658107</v>
      </c>
      <c r="P420" s="75">
        <f t="shared" si="164"/>
        <v>204.92511040140747</v>
      </c>
      <c r="Q420" s="68">
        <f t="shared" si="163"/>
        <v>692.13116758091269</v>
      </c>
      <c r="R420" s="55">
        <f>48.1+2.9*2+15.74*2+1.11+0.23*8+40*4+27.7*1.5+0.947*10+1.5*10+210+0.28*10+11.92*10+305.6+53*3+1060*0.3+37.6*0.5+262.5*0.4+265.6+1.675*2+1.678*5+45.5*2+1.65+27.7*2+0.947*1.5*1.5+0.28*15+11.92*15+18.2*1.5</f>
        <v>2190.5707500000003</v>
      </c>
      <c r="S420" s="55">
        <f>48.1+2.9*2+15.74*2+1.11+0.23*8+40*4+27.7*1.5+0.947*10+1.5*10+210+0.28*10+11.92*10+305.6+53*3+1060*0.3+37.6*0.5+262.5*0.4+265.6+1.675*2+1.678*5+45.5*2+1.65+27.7*2+0.947*1.5*1.5+0.28*15+11.92*15+18.2*1.5</f>
        <v>2190.5707500000003</v>
      </c>
      <c r="T420" s="78">
        <f t="shared" si="151"/>
        <v>2190.5707500000003</v>
      </c>
      <c r="U420" s="9">
        <f t="shared" si="145"/>
        <v>3819.2804709089892</v>
      </c>
      <c r="V420" s="75">
        <f t="shared" si="165"/>
        <v>954.82011772724729</v>
      </c>
      <c r="W420" s="42">
        <v>4774</v>
      </c>
      <c r="X420" s="71">
        <v>4690.6780736999099</v>
      </c>
      <c r="Y420" s="60">
        <f t="shared" si="152"/>
        <v>1.0177633009537079</v>
      </c>
      <c r="Z420" s="60">
        <f t="shared" si="143"/>
        <v>1.7763300953707928E-2</v>
      </c>
      <c r="AA420" s="14"/>
    </row>
    <row r="421" spans="1:33" ht="15" customHeight="1" x14ac:dyDescent="0.2">
      <c r="A421" s="36" t="s">
        <v>866</v>
      </c>
      <c r="B421" s="27" t="s">
        <v>221</v>
      </c>
      <c r="C421" s="21">
        <v>942048</v>
      </c>
      <c r="D421" s="7">
        <v>1650</v>
      </c>
      <c r="E421" s="7">
        <v>25</v>
      </c>
      <c r="F421" s="8">
        <f t="shared" si="160"/>
        <v>237.8909090909091</v>
      </c>
      <c r="G421" s="33">
        <v>471732</v>
      </c>
      <c r="H421" s="7">
        <v>1925</v>
      </c>
      <c r="I421" s="7">
        <v>20</v>
      </c>
      <c r="J421" s="8">
        <f t="shared" si="161"/>
        <v>81.685194805194797</v>
      </c>
      <c r="K421" s="7">
        <v>561942</v>
      </c>
      <c r="L421" s="7">
        <v>846721</v>
      </c>
      <c r="M421" s="7">
        <v>30</v>
      </c>
      <c r="N421" s="75">
        <f t="shared" si="139"/>
        <v>19.910053016282813</v>
      </c>
      <c r="O421" s="75">
        <f t="shared" si="162"/>
        <v>339.48615691238672</v>
      </c>
      <c r="P421" s="75">
        <f t="shared" si="164"/>
        <v>102.52481938754079</v>
      </c>
      <c r="Q421" s="68">
        <f t="shared" si="163"/>
        <v>346.27588005063444</v>
      </c>
      <c r="R421" s="55">
        <f>48.1+2.9*2+7.93*2+1.11+40*4+0.28*5+11.92*5+18.3*0.5+53*2+27.7+0.947*3+1.5*5+210+0.23*8+1060*0.3+37.6*5+262.5*0.4+265.6*0.5+1.675*2+1.678*5+1.65+45.5*2+7+63*0.5+4.2*2+1</f>
        <v>1552.991</v>
      </c>
      <c r="S421" s="55">
        <v>1552.991</v>
      </c>
      <c r="T421" s="78">
        <f t="shared" si="151"/>
        <v>1552.991</v>
      </c>
      <c r="U421" s="9">
        <f t="shared" si="145"/>
        <v>2361.1879093668449</v>
      </c>
      <c r="V421" s="75">
        <f t="shared" si="165"/>
        <v>590.29697734171123</v>
      </c>
      <c r="W421" s="42">
        <v>2951</v>
      </c>
      <c r="X421" s="71">
        <v>2914.7351314321086</v>
      </c>
      <c r="Y421" s="60">
        <f t="shared" si="152"/>
        <v>1.0124419087610452</v>
      </c>
      <c r="Z421" s="60">
        <f t="shared" si="143"/>
        <v>1.2441908761045228E-2</v>
      </c>
      <c r="AA421" s="14"/>
    </row>
    <row r="422" spans="1:33" ht="15" customHeight="1" x14ac:dyDescent="0.2">
      <c r="A422" s="36" t="s">
        <v>867</v>
      </c>
      <c r="B422" s="27" t="s">
        <v>222</v>
      </c>
      <c r="C422" s="21">
        <v>942048</v>
      </c>
      <c r="D422" s="7">
        <v>1650</v>
      </c>
      <c r="E422" s="7">
        <v>55</v>
      </c>
      <c r="F422" s="8">
        <f t="shared" si="160"/>
        <v>523.36</v>
      </c>
      <c r="G422" s="33">
        <v>471732</v>
      </c>
      <c r="H422" s="7">
        <v>1925</v>
      </c>
      <c r="I422" s="7">
        <v>20</v>
      </c>
      <c r="J422" s="8">
        <f t="shared" si="161"/>
        <v>81.685194805194797</v>
      </c>
      <c r="K422" s="7">
        <v>561942</v>
      </c>
      <c r="L422" s="7">
        <v>846721</v>
      </c>
      <c r="M422" s="7">
        <v>60</v>
      </c>
      <c r="N422" s="75">
        <f t="shared" si="139"/>
        <v>39.820106032565626</v>
      </c>
      <c r="O422" s="75">
        <f t="shared" si="162"/>
        <v>644.8653008377604</v>
      </c>
      <c r="P422" s="75">
        <f t="shared" si="164"/>
        <v>194.74932085300364</v>
      </c>
      <c r="Q422" s="68">
        <f t="shared" si="163"/>
        <v>657.76260685451564</v>
      </c>
      <c r="R422" s="55">
        <f>48.1+2.9*2+15.74*2+1.11+40*4+0.28*5+11.92*5+18.3*0.5+53*2+27.7+0.947*3+1.5*5+210+0.23*8+1060*0.3+37.6*5+362.5*0.4+265.6*0.5+1.675*2+1.678*5+1.65+45.5*2+7+63*0.5+4.2*2+1</f>
        <v>1608.6110000000003</v>
      </c>
      <c r="S422" s="55">
        <v>1608.6110000000003</v>
      </c>
      <c r="T422" s="78">
        <f t="shared" si="151"/>
        <v>1608.6110000000003</v>
      </c>
      <c r="U422" s="9">
        <f t="shared" si="145"/>
        <v>3145.8083345778455</v>
      </c>
      <c r="V422" s="75">
        <f t="shared" si="165"/>
        <v>786.45208364446137</v>
      </c>
      <c r="W422" s="42">
        <v>3932</v>
      </c>
      <c r="X422" s="71">
        <v>3853.9480349421401</v>
      </c>
      <c r="Y422" s="60">
        <f t="shared" si="152"/>
        <v>1.0202524695066448</v>
      </c>
      <c r="Z422" s="60">
        <f t="shared" si="143"/>
        <v>2.0252469506644832E-2</v>
      </c>
      <c r="AA422" s="14"/>
    </row>
    <row r="423" spans="1:33" ht="15" customHeight="1" x14ac:dyDescent="0.2">
      <c r="A423" s="36" t="s">
        <v>868</v>
      </c>
      <c r="B423" s="27" t="s">
        <v>223</v>
      </c>
      <c r="C423" s="21">
        <v>942048</v>
      </c>
      <c r="D423" s="7">
        <v>1650</v>
      </c>
      <c r="E423" s="7">
        <v>90</v>
      </c>
      <c r="F423" s="8">
        <f t="shared" si="160"/>
        <v>856.40727272727281</v>
      </c>
      <c r="G423" s="33">
        <v>471732</v>
      </c>
      <c r="H423" s="7">
        <v>1925</v>
      </c>
      <c r="I423" s="7">
        <v>20</v>
      </c>
      <c r="J423" s="8">
        <f t="shared" si="161"/>
        <v>81.685194805194797</v>
      </c>
      <c r="K423" s="7">
        <v>561942</v>
      </c>
      <c r="L423" s="7">
        <v>846721</v>
      </c>
      <c r="M423" s="7">
        <v>100</v>
      </c>
      <c r="N423" s="75">
        <f t="shared" si="139"/>
        <v>66.366843387609379</v>
      </c>
      <c r="O423" s="75">
        <f t="shared" si="162"/>
        <v>1004.459310920077</v>
      </c>
      <c r="P423" s="75">
        <f t="shared" si="164"/>
        <v>303.34671189786326</v>
      </c>
      <c r="Q423" s="68">
        <f t="shared" si="163"/>
        <v>1024.5484971384785</v>
      </c>
      <c r="R423" s="55">
        <f>48.1+2.9*2+15.74*2+1.11+40*4+0.28*5+11.92*5+18.3*0.5+53*2+27.7+0.947*3+1.5*5+110+0.23*8+506.6*0.3+37.6*5+262.5*0.4+265.6*0.5+1.675*2+1.678*5+1.65+45.5*2+7+63*0.5+4.2*2+1</f>
        <v>1302.5910000000003</v>
      </c>
      <c r="S423" s="55">
        <v>1302.5910000000003</v>
      </c>
      <c r="T423" s="78">
        <f t="shared" si="151"/>
        <v>1302.5910000000003</v>
      </c>
      <c r="U423" s="9">
        <f t="shared" si="145"/>
        <v>3701.3123633440287</v>
      </c>
      <c r="V423" s="75">
        <f t="shared" si="165"/>
        <v>925.32809083600716</v>
      </c>
      <c r="W423" s="42">
        <v>4627</v>
      </c>
      <c r="X423" s="71">
        <v>4527.1984283667698</v>
      </c>
      <c r="Y423" s="60">
        <f t="shared" si="152"/>
        <v>1.0220448856422746</v>
      </c>
      <c r="Z423" s="60">
        <f t="shared" si="143"/>
        <v>2.2044885642274581E-2</v>
      </c>
      <c r="AA423" s="14"/>
    </row>
    <row r="424" spans="1:33" ht="15" customHeight="1" x14ac:dyDescent="0.2">
      <c r="A424" s="36" t="s">
        <v>746</v>
      </c>
      <c r="B424" s="27" t="s">
        <v>233</v>
      </c>
      <c r="C424" s="21">
        <v>942048</v>
      </c>
      <c r="D424" s="7">
        <v>1650</v>
      </c>
      <c r="E424" s="7">
        <v>20</v>
      </c>
      <c r="F424" s="8">
        <f t="shared" si="160"/>
        <v>190.31272727272727</v>
      </c>
      <c r="G424" s="33">
        <v>471732</v>
      </c>
      <c r="H424" s="7">
        <v>1925</v>
      </c>
      <c r="I424" s="7">
        <v>17</v>
      </c>
      <c r="J424" s="8">
        <f t="shared" si="161"/>
        <v>69.43241558441558</v>
      </c>
      <c r="K424" s="7">
        <v>561942</v>
      </c>
      <c r="L424" s="7">
        <v>846721</v>
      </c>
      <c r="M424" s="7">
        <v>30</v>
      </c>
      <c r="N424" s="75">
        <f t="shared" si="139"/>
        <v>19.910053016282813</v>
      </c>
      <c r="O424" s="75">
        <f t="shared" si="162"/>
        <v>279.65519587342567</v>
      </c>
      <c r="P424" s="75">
        <f t="shared" si="164"/>
        <v>84.455869153774543</v>
      </c>
      <c r="Q424" s="68">
        <f t="shared" si="163"/>
        <v>285.24829979089418</v>
      </c>
      <c r="R424" s="55">
        <f>48.1+2.9*2+15.74*2+1.11+40*4+0.28*5+11.92*5+18.3*0.5+53*2+27.7+0.947*3+1.5*5+210+0.23*8+1060*0.3+37.6*5+262.5*0.4+265.6*0.5+1.675*2+1.678*5+1.65+45.5*2+48.1+2.9*2+15.74*2+1.11+0.23*4+550*0.1+1.54*1.5</f>
        <v>1665.431</v>
      </c>
      <c r="S424" s="55">
        <v>1665.431</v>
      </c>
      <c r="T424" s="78">
        <f t="shared" si="151"/>
        <v>1665.431</v>
      </c>
      <c r="U424" s="9">
        <f t="shared" si="145"/>
        <v>2334.7004178343773</v>
      </c>
      <c r="V424" s="75">
        <f t="shared" si="165"/>
        <v>583.67510445859432</v>
      </c>
      <c r="W424" s="42">
        <v>2918</v>
      </c>
      <c r="X424" s="71">
        <v>2867.5865127308098</v>
      </c>
      <c r="Y424" s="60">
        <f t="shared" si="152"/>
        <v>1.0175804590534154</v>
      </c>
      <c r="Z424" s="60">
        <f t="shared" si="143"/>
        <v>1.7580459053415431E-2</v>
      </c>
      <c r="AA424" s="14"/>
    </row>
    <row r="425" spans="1:33" s="65" customFormat="1" ht="15" customHeight="1" x14ac:dyDescent="0.2">
      <c r="A425" s="36" t="s">
        <v>869</v>
      </c>
      <c r="B425" s="27" t="s">
        <v>224</v>
      </c>
      <c r="C425" s="21">
        <v>942048</v>
      </c>
      <c r="D425" s="7">
        <v>1650</v>
      </c>
      <c r="E425" s="7">
        <v>40</v>
      </c>
      <c r="F425" s="8">
        <f t="shared" si="160"/>
        <v>380.62545454545455</v>
      </c>
      <c r="G425" s="33">
        <v>471732</v>
      </c>
      <c r="H425" s="7">
        <v>1925</v>
      </c>
      <c r="I425" s="7">
        <v>30</v>
      </c>
      <c r="J425" s="8">
        <f t="shared" si="161"/>
        <v>122.5277922077922</v>
      </c>
      <c r="K425" s="7">
        <v>561942</v>
      </c>
      <c r="L425" s="7">
        <v>846721</v>
      </c>
      <c r="M425" s="7">
        <v>60</v>
      </c>
      <c r="N425" s="75">
        <f t="shared" si="139"/>
        <v>39.820106032565626</v>
      </c>
      <c r="O425" s="75">
        <f t="shared" si="162"/>
        <v>542.97335278581238</v>
      </c>
      <c r="P425" s="75">
        <f t="shared" si="164"/>
        <v>163.97795254131535</v>
      </c>
      <c r="Q425" s="68">
        <f t="shared" si="163"/>
        <v>553.83281984152859</v>
      </c>
      <c r="R425" s="55">
        <f>48.1+2.9*2+15.74*2+1.11+40*4+0.28*5+11.92*5+18.3*0.5+53*2+27.7+0.947*3+1.5*5+210+0.23*8+1060*0.3+37.6*5+262.5*0.4+265.6*0.5+1.675*2+1.678*5+1.65+45.5*2+48.1+2.9*2+15.74*2+1.11+0.23*4+550*0.1+1.54*1.5</f>
        <v>1665.431</v>
      </c>
      <c r="S425" s="55">
        <v>1665.431</v>
      </c>
      <c r="T425" s="78">
        <f t="shared" si="151"/>
        <v>1665.431</v>
      </c>
      <c r="U425" s="9">
        <f t="shared" si="145"/>
        <v>2966.0352312012219</v>
      </c>
      <c r="V425" s="75">
        <f t="shared" si="165"/>
        <v>741.50880780030548</v>
      </c>
      <c r="W425" s="42">
        <v>3708</v>
      </c>
      <c r="X425" s="71">
        <v>3559.1132868901918</v>
      </c>
      <c r="Y425" s="60">
        <f t="shared" si="152"/>
        <v>1.0418325299332911</v>
      </c>
      <c r="Z425" s="60">
        <f t="shared" si="143"/>
        <v>4.1832529933291118E-2</v>
      </c>
      <c r="AA425" s="14"/>
      <c r="AB425" s="47"/>
      <c r="AC425" s="16"/>
      <c r="AD425" s="5"/>
      <c r="AE425" s="5"/>
      <c r="AF425" s="5"/>
      <c r="AG425" s="5"/>
    </row>
    <row r="426" spans="1:33" s="65" customFormat="1" ht="15" customHeight="1" x14ac:dyDescent="0.2">
      <c r="A426" s="36" t="s">
        <v>870</v>
      </c>
      <c r="B426" s="27" t="s">
        <v>225</v>
      </c>
      <c r="C426" s="21">
        <v>942048</v>
      </c>
      <c r="D426" s="7">
        <v>1650</v>
      </c>
      <c r="E426" s="7">
        <v>70</v>
      </c>
      <c r="F426" s="8">
        <f t="shared" si="160"/>
        <v>666.09454545454548</v>
      </c>
      <c r="G426" s="33">
        <v>471732</v>
      </c>
      <c r="H426" s="7">
        <v>1925</v>
      </c>
      <c r="I426" s="7">
        <v>40</v>
      </c>
      <c r="J426" s="8">
        <f t="shared" si="161"/>
        <v>163.37038961038959</v>
      </c>
      <c r="K426" s="7">
        <v>561942</v>
      </c>
      <c r="L426" s="7">
        <v>846721</v>
      </c>
      <c r="M426" s="7">
        <v>110</v>
      </c>
      <c r="N426" s="75">
        <f t="shared" si="139"/>
        <v>73.003527726370308</v>
      </c>
      <c r="O426" s="75">
        <f t="shared" si="162"/>
        <v>902.46846279130534</v>
      </c>
      <c r="P426" s="75">
        <f t="shared" si="164"/>
        <v>272.54547576297421</v>
      </c>
      <c r="Q426" s="68">
        <f t="shared" si="163"/>
        <v>920.51783204713149</v>
      </c>
      <c r="R426" s="55">
        <f>48.1+2.9*2+15.74*2+1.11+40*4+0.28*5+11.92*5+18.3*0.5+53*2+27.7+0.947*3+1.5*5+110+0.23*8+506.6*0.3+37.6*5+262.5*0.4+265.6*0.5+1.675*2+1.678*5+1.65+45.5*2+48.1+2.9*2+15.74*2+1.11+0.23*4+550*0.1+1.54*1.5</f>
        <v>1399.4110000000001</v>
      </c>
      <c r="S426" s="55">
        <v>1399.4110000000001</v>
      </c>
      <c r="T426" s="78">
        <f t="shared" si="151"/>
        <v>1399.4110000000001</v>
      </c>
      <c r="U426" s="9">
        <f t="shared" si="145"/>
        <v>3567.9462983277813</v>
      </c>
      <c r="V426" s="75">
        <f t="shared" si="165"/>
        <v>891.98657458194532</v>
      </c>
      <c r="W426" s="42">
        <v>4460</v>
      </c>
      <c r="X426" s="71">
        <v>4414.0168559437061</v>
      </c>
      <c r="Y426" s="60">
        <f t="shared" si="152"/>
        <v>1.0104175279698751</v>
      </c>
      <c r="Z426" s="60">
        <f t="shared" si="143"/>
        <v>1.0417527969875051E-2</v>
      </c>
      <c r="AA426" s="14"/>
      <c r="AB426" s="47"/>
      <c r="AC426" s="16"/>
      <c r="AD426" s="5"/>
      <c r="AE426" s="5"/>
      <c r="AF426" s="5"/>
      <c r="AG426" s="5"/>
    </row>
    <row r="427" spans="1:33" ht="15" customHeight="1" x14ac:dyDescent="0.2">
      <c r="A427" s="36" t="s">
        <v>871</v>
      </c>
      <c r="B427" s="27" t="s">
        <v>226</v>
      </c>
      <c r="C427" s="21">
        <v>942048</v>
      </c>
      <c r="D427" s="7">
        <v>1650</v>
      </c>
      <c r="E427" s="7">
        <v>65</v>
      </c>
      <c r="F427" s="8">
        <f t="shared" si="160"/>
        <v>618.51636363636374</v>
      </c>
      <c r="G427" s="33">
        <v>471732</v>
      </c>
      <c r="H427" s="7">
        <v>1925</v>
      </c>
      <c r="I427" s="7">
        <v>20</v>
      </c>
      <c r="J427" s="8">
        <f t="shared" si="161"/>
        <v>81.685194805194797</v>
      </c>
      <c r="K427" s="7">
        <v>561942</v>
      </c>
      <c r="L427" s="7">
        <v>846721</v>
      </c>
      <c r="M427" s="7">
        <v>90</v>
      </c>
      <c r="N427" s="75">
        <f>K427/L427*M427</f>
        <v>59.730159048848435</v>
      </c>
      <c r="O427" s="75">
        <f t="shared" si="162"/>
        <v>759.93171749040698</v>
      </c>
      <c r="P427" s="75">
        <f t="shared" si="164"/>
        <v>229.4993786821029</v>
      </c>
      <c r="Q427" s="68">
        <f t="shared" si="163"/>
        <v>775.1303518402151</v>
      </c>
      <c r="R427" s="55">
        <f>48.1+2.9*2+15.74*2+1.11+0.23*4+40*4+27.7+0.947*5+63*5+4.2*2+1+0.28*5+110+200*0.1+1.5*1.5</f>
        <v>737.89499999999998</v>
      </c>
      <c r="S427" s="55">
        <v>737.89499999999998</v>
      </c>
      <c r="T427" s="78">
        <f t="shared" si="151"/>
        <v>737.89499999999998</v>
      </c>
      <c r="U427" s="9">
        <f t="shared" si="145"/>
        <v>2562.1866070615733</v>
      </c>
      <c r="V427" s="75">
        <f t="shared" si="165"/>
        <v>640.54665176539334</v>
      </c>
      <c r="W427" s="42">
        <v>3203</v>
      </c>
      <c r="X427" s="71">
        <v>3060.9208761145092</v>
      </c>
      <c r="Y427" s="60">
        <f t="shared" si="152"/>
        <v>1.0464171174740864</v>
      </c>
      <c r="Z427" s="60">
        <f t="shared" si="143"/>
        <v>4.6417117474086389E-2</v>
      </c>
      <c r="AA427" s="14"/>
    </row>
    <row r="428" spans="1:33" s="65" customFormat="1" ht="15" customHeight="1" x14ac:dyDescent="0.2">
      <c r="A428" s="36" t="s">
        <v>872</v>
      </c>
      <c r="B428" s="27" t="s">
        <v>228</v>
      </c>
      <c r="C428" s="21">
        <v>942048</v>
      </c>
      <c r="D428" s="7">
        <v>1650</v>
      </c>
      <c r="E428" s="7">
        <v>70</v>
      </c>
      <c r="F428" s="8">
        <f t="shared" si="160"/>
        <v>666.09454545454548</v>
      </c>
      <c r="G428" s="33">
        <v>471732</v>
      </c>
      <c r="H428" s="7">
        <v>1925</v>
      </c>
      <c r="I428" s="7">
        <v>20</v>
      </c>
      <c r="J428" s="8">
        <f t="shared" si="161"/>
        <v>81.685194805194797</v>
      </c>
      <c r="K428" s="7">
        <v>561942</v>
      </c>
      <c r="L428" s="7">
        <v>846721</v>
      </c>
      <c r="M428" s="7">
        <v>100</v>
      </c>
      <c r="N428" s="75">
        <f t="shared" si="139"/>
        <v>66.366843387609379</v>
      </c>
      <c r="O428" s="75">
        <f t="shared" si="162"/>
        <v>814.14658364734964</v>
      </c>
      <c r="P428" s="75">
        <f t="shared" si="164"/>
        <v>245.87226826149958</v>
      </c>
      <c r="Q428" s="68">
        <f t="shared" si="163"/>
        <v>830.42951532029667</v>
      </c>
      <c r="R428" s="55">
        <f>48.1+2.9*2+15.74*2+1.11+0.23*4+(40*4+27.7+0.947*5+63*5+4.2*2+1+0.28*5+110+200*0.1+1.5*1.5)*1.5</f>
        <v>1063.1375</v>
      </c>
      <c r="S428" s="55">
        <v>1063.1375</v>
      </c>
      <c r="T428" s="78">
        <f t="shared" si="151"/>
        <v>1063.1375</v>
      </c>
      <c r="U428" s="9">
        <f t="shared" si="145"/>
        <v>3019.9527106167552</v>
      </c>
      <c r="V428" s="75">
        <f t="shared" si="165"/>
        <v>754.9881776541888</v>
      </c>
      <c r="W428" s="42">
        <v>3775</v>
      </c>
      <c r="X428" s="71">
        <v>3705.4657299901464</v>
      </c>
      <c r="Y428" s="60">
        <f t="shared" si="152"/>
        <v>1.0187653253535929</v>
      </c>
      <c r="Z428" s="60">
        <f t="shared" si="143"/>
        <v>1.8765325353592877E-2</v>
      </c>
      <c r="AA428" s="14"/>
      <c r="AB428" s="47"/>
      <c r="AC428" s="16"/>
      <c r="AD428" s="5"/>
      <c r="AE428" s="5"/>
      <c r="AF428" s="5"/>
      <c r="AG428" s="5"/>
    </row>
    <row r="429" spans="1:33" s="65" customFormat="1" ht="15" customHeight="1" x14ac:dyDescent="0.2">
      <c r="A429" s="36" t="s">
        <v>747</v>
      </c>
      <c r="B429" s="27" t="s">
        <v>227</v>
      </c>
      <c r="C429" s="21">
        <v>942048</v>
      </c>
      <c r="D429" s="7">
        <v>1650</v>
      </c>
      <c r="E429" s="7">
        <v>80</v>
      </c>
      <c r="F429" s="8">
        <f t="shared" si="160"/>
        <v>761.25090909090909</v>
      </c>
      <c r="G429" s="33">
        <v>471732</v>
      </c>
      <c r="H429" s="7">
        <v>1925</v>
      </c>
      <c r="I429" s="7">
        <v>20</v>
      </c>
      <c r="J429" s="8">
        <f t="shared" si="161"/>
        <v>81.685194805194797</v>
      </c>
      <c r="K429" s="7">
        <v>561942</v>
      </c>
      <c r="L429" s="7">
        <v>846721</v>
      </c>
      <c r="M429" s="7">
        <v>115</v>
      </c>
      <c r="N429" s="75">
        <f t="shared" ref="N429:N446" si="166">K429/L429*M429</f>
        <v>76.32186989575078</v>
      </c>
      <c r="O429" s="75">
        <f t="shared" si="162"/>
        <v>919.25797379185462</v>
      </c>
      <c r="P429" s="75">
        <f t="shared" si="164"/>
        <v>277.61590808514006</v>
      </c>
      <c r="Q429" s="68">
        <f t="shared" si="163"/>
        <v>937.64313326769172</v>
      </c>
      <c r="R429" s="55">
        <f>48.1+2.9*2+15.74*2+1.11+0.23*4+(40*4+27.7+0.947*5+63*5+4.2*2+1+0.28*5+110+200*0.1+1.5*1.5)*2</f>
        <v>1388.38</v>
      </c>
      <c r="S429" s="55">
        <v>1388.38</v>
      </c>
      <c r="T429" s="78">
        <f t="shared" si="151"/>
        <v>1388.38</v>
      </c>
      <c r="U429" s="9">
        <f t="shared" si="145"/>
        <v>3599.2188850404373</v>
      </c>
      <c r="V429" s="75">
        <f t="shared" si="165"/>
        <v>899.80472126010932</v>
      </c>
      <c r="W429" s="42">
        <v>4499</v>
      </c>
      <c r="X429" s="71">
        <v>4468.1630898620451</v>
      </c>
      <c r="Y429" s="60">
        <f t="shared" si="152"/>
        <v>1.0069014737192385</v>
      </c>
      <c r="Z429" s="60">
        <f t="shared" si="143"/>
        <v>6.9014737192385489E-3</v>
      </c>
      <c r="AA429" s="14"/>
      <c r="AB429" s="47"/>
      <c r="AC429" s="16"/>
      <c r="AD429" s="5"/>
      <c r="AE429" s="5"/>
      <c r="AF429" s="5"/>
      <c r="AG429" s="5"/>
    </row>
    <row r="430" spans="1:33" s="65" customFormat="1" ht="15" customHeight="1" x14ac:dyDescent="0.2">
      <c r="A430" s="36" t="s">
        <v>873</v>
      </c>
      <c r="B430" s="27" t="s">
        <v>217</v>
      </c>
      <c r="C430" s="21">
        <v>942048</v>
      </c>
      <c r="D430" s="7">
        <v>1650</v>
      </c>
      <c r="E430" s="7">
        <v>12</v>
      </c>
      <c r="F430" s="8">
        <f t="shared" si="160"/>
        <v>114.18763636363637</v>
      </c>
      <c r="G430" s="33">
        <v>471732</v>
      </c>
      <c r="H430" s="7">
        <v>1925</v>
      </c>
      <c r="I430" s="7">
        <v>10</v>
      </c>
      <c r="J430" s="8">
        <f t="shared" si="161"/>
        <v>40.842597402597399</v>
      </c>
      <c r="K430" s="7">
        <v>506015</v>
      </c>
      <c r="L430" s="7">
        <v>846721</v>
      </c>
      <c r="M430" s="7">
        <v>15</v>
      </c>
      <c r="N430" s="75">
        <f t="shared" si="166"/>
        <v>8.9642574118275089</v>
      </c>
      <c r="O430" s="75">
        <f t="shared" si="162"/>
        <v>163.99449117806128</v>
      </c>
      <c r="P430" s="75">
        <f t="shared" si="164"/>
        <v>49.526336335774502</v>
      </c>
      <c r="Q430" s="68">
        <f t="shared" si="163"/>
        <v>167.27438100162252</v>
      </c>
      <c r="R430" s="55">
        <f>48.1+2.9+7.93+11.1+1.5*10+27*3+88.5</f>
        <v>254.53</v>
      </c>
      <c r="S430" s="55">
        <v>254.53</v>
      </c>
      <c r="T430" s="78">
        <f t="shared" si="151"/>
        <v>254.53</v>
      </c>
      <c r="U430" s="9">
        <f t="shared" si="145"/>
        <v>644.28946592728573</v>
      </c>
      <c r="V430" s="75">
        <f t="shared" si="165"/>
        <v>161.07236648182143</v>
      </c>
      <c r="W430" s="42">
        <v>805</v>
      </c>
      <c r="X430" s="71">
        <v>783.5314137078085</v>
      </c>
      <c r="Y430" s="60">
        <f t="shared" si="152"/>
        <v>1.0273997773625927</v>
      </c>
      <c r="Z430" s="60">
        <f t="shared" si="143"/>
        <v>2.7399777362592692E-2</v>
      </c>
      <c r="AA430" s="14"/>
      <c r="AB430" s="47"/>
      <c r="AC430" s="16"/>
      <c r="AD430" s="5"/>
      <c r="AE430" s="5"/>
      <c r="AF430" s="5"/>
      <c r="AG430" s="5"/>
    </row>
    <row r="431" spans="1:33" s="65" customFormat="1" ht="15" customHeight="1" x14ac:dyDescent="0.2">
      <c r="A431" s="36" t="s">
        <v>772</v>
      </c>
      <c r="B431" s="27" t="s">
        <v>218</v>
      </c>
      <c r="C431" s="21">
        <v>942048</v>
      </c>
      <c r="D431" s="7">
        <v>1650</v>
      </c>
      <c r="E431" s="7">
        <v>15</v>
      </c>
      <c r="F431" s="8">
        <f t="shared" si="160"/>
        <v>142.73454545454547</v>
      </c>
      <c r="G431" s="33">
        <v>471732</v>
      </c>
      <c r="H431" s="7">
        <v>1925</v>
      </c>
      <c r="I431" s="7">
        <v>20</v>
      </c>
      <c r="J431" s="8">
        <f t="shared" si="161"/>
        <v>81.685194805194797</v>
      </c>
      <c r="K431" s="7">
        <v>506015</v>
      </c>
      <c r="L431" s="7">
        <v>846721</v>
      </c>
      <c r="M431" s="7">
        <v>25</v>
      </c>
      <c r="N431" s="75">
        <f t="shared" si="166"/>
        <v>14.940429019712514</v>
      </c>
      <c r="O431" s="75">
        <f t="shared" si="162"/>
        <v>239.36016927945278</v>
      </c>
      <c r="P431" s="75">
        <f t="shared" si="164"/>
        <v>72.28677112239474</v>
      </c>
      <c r="Q431" s="68">
        <f t="shared" si="163"/>
        <v>244.14737266504184</v>
      </c>
      <c r="R431" s="55">
        <f>48.1+2.9+7.93+11.1+1.5*15+27*3+88.5*2</f>
        <v>350.53</v>
      </c>
      <c r="S431" s="55">
        <v>350.53</v>
      </c>
      <c r="T431" s="78">
        <f t="shared" si="151"/>
        <v>350.53</v>
      </c>
      <c r="U431" s="9">
        <f t="shared" si="145"/>
        <v>921.26474208660181</v>
      </c>
      <c r="V431" s="75">
        <f t="shared" si="165"/>
        <v>230.31618552165045</v>
      </c>
      <c r="W431" s="42">
        <v>1152</v>
      </c>
      <c r="X431" s="71">
        <v>1147.3573000757849</v>
      </c>
      <c r="Y431" s="60">
        <f t="shared" si="152"/>
        <v>1.0040464290626019</v>
      </c>
      <c r="Z431" s="60">
        <f t="shared" si="143"/>
        <v>4.0464290626018862E-3</v>
      </c>
      <c r="AA431" s="14"/>
      <c r="AB431" s="47"/>
      <c r="AC431" s="16"/>
      <c r="AD431" s="5"/>
      <c r="AE431" s="5"/>
      <c r="AF431" s="5"/>
      <c r="AG431" s="5"/>
    </row>
    <row r="432" spans="1:33" s="65" customFormat="1" ht="15" customHeight="1" x14ac:dyDescent="0.2">
      <c r="A432" s="36" t="s">
        <v>874</v>
      </c>
      <c r="B432" s="27" t="s">
        <v>230</v>
      </c>
      <c r="C432" s="21">
        <v>942048</v>
      </c>
      <c r="D432" s="7">
        <v>1650</v>
      </c>
      <c r="E432" s="7">
        <v>25</v>
      </c>
      <c r="F432" s="8">
        <f t="shared" si="160"/>
        <v>237.8909090909091</v>
      </c>
      <c r="G432" s="33">
        <v>471732</v>
      </c>
      <c r="H432" s="7">
        <v>1925</v>
      </c>
      <c r="I432" s="7">
        <v>20</v>
      </c>
      <c r="J432" s="8">
        <f>G432/H432/60*I432</f>
        <v>81.685194805194797</v>
      </c>
      <c r="K432" s="7">
        <v>506015</v>
      </c>
      <c r="L432" s="7">
        <v>846721</v>
      </c>
      <c r="M432" s="7">
        <v>35</v>
      </c>
      <c r="N432" s="75">
        <f t="shared" si="166"/>
        <v>20.916600627597521</v>
      </c>
      <c r="O432" s="75">
        <f t="shared" si="162"/>
        <v>340.49270452370143</v>
      </c>
      <c r="P432" s="75">
        <f t="shared" si="164"/>
        <v>102.82879676615784</v>
      </c>
      <c r="Q432" s="68">
        <f t="shared" si="163"/>
        <v>347.3025586141755</v>
      </c>
      <c r="R432" s="55">
        <f>48.1+2.9+7.93+11.1+1.5*20+27*3+88.5*2.5</f>
        <v>402.28</v>
      </c>
      <c r="S432" s="55">
        <v>402.28</v>
      </c>
      <c r="T432" s="78">
        <f t="shared" si="151"/>
        <v>402.28</v>
      </c>
      <c r="U432" s="9">
        <f t="shared" si="145"/>
        <v>1213.8206605316323</v>
      </c>
      <c r="V432" s="75">
        <f>U432*25%</f>
        <v>303.45516513290806</v>
      </c>
      <c r="W432" s="42">
        <v>1517</v>
      </c>
      <c r="X432" s="71">
        <v>1477.1383970931117</v>
      </c>
      <c r="Y432" s="60">
        <f t="shared" si="152"/>
        <v>1.0269856927321994</v>
      </c>
      <c r="Z432" s="60">
        <f t="shared" si="143"/>
        <v>2.6985692732199418E-2</v>
      </c>
      <c r="AA432" s="14"/>
      <c r="AB432" s="47"/>
      <c r="AC432" s="16"/>
      <c r="AD432" s="5"/>
      <c r="AE432" s="5"/>
      <c r="AF432" s="5"/>
      <c r="AG432" s="5"/>
    </row>
    <row r="433" spans="1:33" ht="15" customHeight="1" x14ac:dyDescent="0.2">
      <c r="A433" s="36" t="s">
        <v>875</v>
      </c>
      <c r="B433" s="27" t="s">
        <v>70</v>
      </c>
      <c r="C433" s="21">
        <v>942048</v>
      </c>
      <c r="D433" s="7">
        <v>1650</v>
      </c>
      <c r="E433" s="7">
        <v>25</v>
      </c>
      <c r="F433" s="8">
        <f t="shared" si="160"/>
        <v>237.8909090909091</v>
      </c>
      <c r="G433" s="33">
        <v>471732</v>
      </c>
      <c r="H433" s="7">
        <v>1925</v>
      </c>
      <c r="I433" s="7">
        <v>20</v>
      </c>
      <c r="J433" s="8">
        <f t="shared" si="161"/>
        <v>81.685194805194797</v>
      </c>
      <c r="K433" s="7">
        <v>470165</v>
      </c>
      <c r="L433" s="7">
        <v>846721</v>
      </c>
      <c r="M433" s="7">
        <v>33</v>
      </c>
      <c r="N433" s="75">
        <f t="shared" si="166"/>
        <v>18.3241528201143</v>
      </c>
      <c r="O433" s="75">
        <f t="shared" si="162"/>
        <v>337.90025671621822</v>
      </c>
      <c r="P433" s="75">
        <f t="shared" si="164"/>
        <v>102.04587752829789</v>
      </c>
      <c r="Q433" s="68">
        <f t="shared" si="163"/>
        <v>344.6582618505426</v>
      </c>
      <c r="R433" s="55">
        <f>46.5+9.95*2+2.3*2+1.11</f>
        <v>72.11</v>
      </c>
      <c r="S433" s="55">
        <v>72.11</v>
      </c>
      <c r="T433" s="78">
        <f t="shared" si="151"/>
        <v>72.11</v>
      </c>
      <c r="U433" s="9">
        <f t="shared" si="145"/>
        <v>875.03854891517301</v>
      </c>
      <c r="V433" s="75">
        <f t="shared" si="165"/>
        <v>218.75963722879325</v>
      </c>
      <c r="W433" s="42">
        <v>1094</v>
      </c>
      <c r="X433" s="71">
        <v>1053.6607575725377</v>
      </c>
      <c r="Y433" s="60">
        <f t="shared" si="152"/>
        <v>1.0382848484557756</v>
      </c>
      <c r="Z433" s="60">
        <f t="shared" si="143"/>
        <v>3.8284848455775622E-2</v>
      </c>
      <c r="AA433" s="14"/>
    </row>
    <row r="434" spans="1:33" ht="15" customHeight="1" x14ac:dyDescent="0.2">
      <c r="A434" s="36" t="s">
        <v>773</v>
      </c>
      <c r="B434" s="27" t="s">
        <v>24</v>
      </c>
      <c r="C434" s="21">
        <v>942048</v>
      </c>
      <c r="D434" s="7">
        <v>1650</v>
      </c>
      <c r="E434" s="7">
        <v>7</v>
      </c>
      <c r="F434" s="8">
        <f t="shared" si="160"/>
        <v>66.609454545454554</v>
      </c>
      <c r="G434" s="33">
        <v>471732</v>
      </c>
      <c r="H434" s="7">
        <v>1925</v>
      </c>
      <c r="I434" s="7">
        <v>3</v>
      </c>
      <c r="J434" s="8">
        <f t="shared" si="161"/>
        <v>12.252779220779221</v>
      </c>
      <c r="K434" s="7">
        <v>470165</v>
      </c>
      <c r="L434" s="7">
        <v>846721</v>
      </c>
      <c r="M434" s="7">
        <v>5</v>
      </c>
      <c r="N434" s="75">
        <f t="shared" si="166"/>
        <v>2.7763867909264088</v>
      </c>
      <c r="O434" s="75">
        <f t="shared" si="162"/>
        <v>81.638620557160181</v>
      </c>
      <c r="P434" s="75">
        <f t="shared" si="164"/>
        <v>24.654863408262372</v>
      </c>
      <c r="Q434" s="68">
        <f t="shared" si="163"/>
        <v>83.271392968303388</v>
      </c>
      <c r="R434" s="55">
        <f>46.5+9.95*2+2.3*2+1.11</f>
        <v>72.11</v>
      </c>
      <c r="S434" s="55">
        <v>72.11</v>
      </c>
      <c r="T434" s="78">
        <f t="shared" si="151"/>
        <v>72.11</v>
      </c>
      <c r="U434" s="9">
        <f t="shared" si="145"/>
        <v>264.45126372465234</v>
      </c>
      <c r="V434" s="75">
        <f t="shared" si="165"/>
        <v>66.112815931163084</v>
      </c>
      <c r="W434" s="42">
        <v>331</v>
      </c>
      <c r="X434" s="71">
        <v>321.01362329217909</v>
      </c>
      <c r="Y434" s="60">
        <f t="shared" si="152"/>
        <v>1.0311088875462819</v>
      </c>
      <c r="Z434" s="60">
        <f t="shared" si="143"/>
        <v>3.1108887546281938E-2</v>
      </c>
      <c r="AA434" s="14"/>
    </row>
    <row r="435" spans="1:33" s="65" customFormat="1" ht="15" customHeight="1" x14ac:dyDescent="0.2">
      <c r="A435" s="36" t="s">
        <v>774</v>
      </c>
      <c r="B435" s="27" t="s">
        <v>231</v>
      </c>
      <c r="C435" s="21">
        <v>942048</v>
      </c>
      <c r="D435" s="7">
        <v>1650</v>
      </c>
      <c r="E435" s="7">
        <v>45</v>
      </c>
      <c r="F435" s="8">
        <f t="shared" si="160"/>
        <v>428.20363636363641</v>
      </c>
      <c r="G435" s="33">
        <v>471732</v>
      </c>
      <c r="H435" s="7">
        <v>1925</v>
      </c>
      <c r="I435" s="7">
        <v>20</v>
      </c>
      <c r="J435" s="8">
        <f t="shared" si="161"/>
        <v>81.685194805194797</v>
      </c>
      <c r="K435" s="7">
        <v>458430</v>
      </c>
      <c r="L435" s="7">
        <v>846721</v>
      </c>
      <c r="M435" s="7">
        <v>70</v>
      </c>
      <c r="N435" s="75">
        <f t="shared" si="166"/>
        <v>37.899260795468642</v>
      </c>
      <c r="O435" s="75">
        <f t="shared" si="162"/>
        <v>547.78809196429984</v>
      </c>
      <c r="P435" s="75">
        <f t="shared" si="164"/>
        <v>165.43200377321855</v>
      </c>
      <c r="Q435" s="68">
        <f t="shared" si="163"/>
        <v>558.74385380358581</v>
      </c>
      <c r="R435" s="55">
        <f>0.23*6+48.1+260+41.12+75+25*2+3.37+85+18*4+15.7442+0.947*15+1.11+2.6</f>
        <v>669.62920000000008</v>
      </c>
      <c r="S435" s="55">
        <v>669.62920000000008</v>
      </c>
      <c r="T435" s="78">
        <f t="shared" si="151"/>
        <v>669.62920000000008</v>
      </c>
      <c r="U435" s="9">
        <f t="shared" si="145"/>
        <v>1979.4924103365729</v>
      </c>
      <c r="V435" s="75">
        <f t="shared" si="165"/>
        <v>494.87310258414323</v>
      </c>
      <c r="W435" s="42">
        <v>2474</v>
      </c>
      <c r="X435" s="71">
        <v>2456.1654557778588</v>
      </c>
      <c r="Y435" s="60">
        <f t="shared" si="152"/>
        <v>1.0072611330723618</v>
      </c>
      <c r="Z435" s="60">
        <f t="shared" si="143"/>
        <v>7.2611330723617584E-3</v>
      </c>
      <c r="AA435" s="14"/>
      <c r="AB435" s="47"/>
      <c r="AC435" s="16"/>
      <c r="AD435" s="5"/>
      <c r="AE435" s="5"/>
      <c r="AF435" s="5"/>
      <c r="AG435" s="5"/>
    </row>
    <row r="436" spans="1:33" s="65" customFormat="1" ht="15" customHeight="1" x14ac:dyDescent="0.2">
      <c r="A436" s="36" t="s">
        <v>876</v>
      </c>
      <c r="B436" s="27" t="s">
        <v>344</v>
      </c>
      <c r="C436" s="21">
        <v>942048</v>
      </c>
      <c r="D436" s="7">
        <v>1650</v>
      </c>
      <c r="E436" s="7">
        <v>30</v>
      </c>
      <c r="F436" s="8">
        <f t="shared" si="160"/>
        <v>285.46909090909094</v>
      </c>
      <c r="G436" s="33">
        <v>471732</v>
      </c>
      <c r="H436" s="7">
        <v>1925</v>
      </c>
      <c r="I436" s="7">
        <v>20</v>
      </c>
      <c r="J436" s="8">
        <f>G436/H436/60*I436</f>
        <v>81.685194805194797</v>
      </c>
      <c r="K436" s="7">
        <v>458430</v>
      </c>
      <c r="L436" s="7">
        <v>846721</v>
      </c>
      <c r="M436" s="7">
        <v>40</v>
      </c>
      <c r="N436" s="75">
        <f>K436/L436*M436</f>
        <v>21.656720454553508</v>
      </c>
      <c r="O436" s="75">
        <f>F436+J436+N436</f>
        <v>388.81100616883924</v>
      </c>
      <c r="P436" s="75">
        <f>O436*0.302</f>
        <v>117.42092386298945</v>
      </c>
      <c r="Q436" s="68">
        <f t="shared" si="163"/>
        <v>396.58722629221603</v>
      </c>
      <c r="R436" s="55">
        <f>(0.23*6+48.1+160+41.12+75+25*2+3.37+85+18*4+15.7442+0.947*15+1.11+2.6)/2</f>
        <v>284.81460000000004</v>
      </c>
      <c r="S436" s="55">
        <v>284.81460000000004</v>
      </c>
      <c r="T436" s="78">
        <f t="shared" si="151"/>
        <v>284.81460000000004</v>
      </c>
      <c r="U436" s="9">
        <f t="shared" si="145"/>
        <v>1209.2904767785981</v>
      </c>
      <c r="V436" s="75">
        <f>U436*25%</f>
        <v>302.32261919464952</v>
      </c>
      <c r="W436" s="42">
        <v>1512</v>
      </c>
      <c r="X436" s="71">
        <v>1448.4126788303906</v>
      </c>
      <c r="Y436" s="60">
        <f t="shared" si="152"/>
        <v>1.0439013839763933</v>
      </c>
      <c r="Z436" s="60">
        <f t="shared" si="143"/>
        <v>4.3901383976393316E-2</v>
      </c>
      <c r="AA436" s="14"/>
      <c r="AB436" s="47"/>
      <c r="AC436" s="16"/>
      <c r="AD436" s="5"/>
      <c r="AE436" s="5"/>
      <c r="AF436" s="5"/>
      <c r="AG436" s="5"/>
    </row>
    <row r="437" spans="1:33" ht="15" customHeight="1" x14ac:dyDescent="0.2">
      <c r="A437" s="36" t="s">
        <v>877</v>
      </c>
      <c r="B437" s="27" t="s">
        <v>345</v>
      </c>
      <c r="C437" s="21">
        <v>942048</v>
      </c>
      <c r="D437" s="7">
        <v>1650</v>
      </c>
      <c r="E437" s="7">
        <v>10</v>
      </c>
      <c r="F437" s="8">
        <f t="shared" si="160"/>
        <v>95.156363636363636</v>
      </c>
      <c r="G437" s="33">
        <v>471732</v>
      </c>
      <c r="H437" s="7">
        <v>1925</v>
      </c>
      <c r="I437" s="7">
        <v>5</v>
      </c>
      <c r="J437" s="8">
        <f>G437/H437/60*I437</f>
        <v>20.421298701298699</v>
      </c>
      <c r="K437" s="7">
        <v>458430</v>
      </c>
      <c r="L437" s="7">
        <v>846721</v>
      </c>
      <c r="M437" s="7">
        <v>15</v>
      </c>
      <c r="N437" s="75">
        <f>K437/L437*M437</f>
        <v>8.1212701704575654</v>
      </c>
      <c r="O437" s="75">
        <f>F437+J437+N437</f>
        <v>123.6989325081199</v>
      </c>
      <c r="P437" s="75">
        <f>O437*0.302</f>
        <v>37.357077617452205</v>
      </c>
      <c r="Q437" s="68">
        <f t="shared" si="163"/>
        <v>126.17291115828229</v>
      </c>
      <c r="R437" s="55">
        <f>(0.23*6+48.1+160+41.12+75+25*2+3.37+85+18*4+15.7442+0.947*15+1.11+2.6)/51.12</f>
        <v>11.14298122065728</v>
      </c>
      <c r="S437" s="55">
        <f>(0.23*6+48.1+160+41.12+75+25*2+3.37+85+18*4+15.7442+0.947*15+1.11+2.6)/51.12</f>
        <v>11.14298122065728</v>
      </c>
      <c r="T437" s="78">
        <f t="shared" si="151"/>
        <v>11.14298122065728</v>
      </c>
      <c r="U437" s="9">
        <f t="shared" ref="U437:U444" si="167">N437+O437+P437+Q437+T437</f>
        <v>306.49317267496923</v>
      </c>
      <c r="V437" s="75">
        <f>U437*25%</f>
        <v>76.623293168742308</v>
      </c>
      <c r="W437" s="42">
        <v>383</v>
      </c>
      <c r="X437" s="71">
        <v>360.93312324630892</v>
      </c>
      <c r="Y437" s="60">
        <f t="shared" si="152"/>
        <v>1.0611384085650464</v>
      </c>
      <c r="Z437" s="60">
        <f t="shared" ref="Z437:Z445" si="168">Y437-100%</f>
        <v>6.1138408565046376E-2</v>
      </c>
      <c r="AA437" s="14"/>
    </row>
    <row r="438" spans="1:33" s="65" customFormat="1" ht="15" customHeight="1" x14ac:dyDescent="0.2">
      <c r="A438" s="36" t="s">
        <v>775</v>
      </c>
      <c r="B438" s="27" t="s">
        <v>25</v>
      </c>
      <c r="C438" s="21">
        <v>942048</v>
      </c>
      <c r="D438" s="7">
        <v>1650</v>
      </c>
      <c r="E438" s="7">
        <v>15</v>
      </c>
      <c r="F438" s="8">
        <f t="shared" si="160"/>
        <v>142.73454545454547</v>
      </c>
      <c r="G438" s="33">
        <v>471732</v>
      </c>
      <c r="H438" s="7">
        <v>1925</v>
      </c>
      <c r="I438" s="7">
        <v>10</v>
      </c>
      <c r="J438" s="8">
        <f t="shared" ref="J438:J444" si="169">G438/H438/60*I438</f>
        <v>40.842597402597399</v>
      </c>
      <c r="K438" s="7">
        <v>458430</v>
      </c>
      <c r="L438" s="7">
        <v>846721</v>
      </c>
      <c r="M438" s="7">
        <v>25</v>
      </c>
      <c r="N438" s="75">
        <f t="shared" si="166"/>
        <v>13.535450284095942</v>
      </c>
      <c r="O438" s="75">
        <f t="shared" si="162"/>
        <v>197.11259314123879</v>
      </c>
      <c r="P438" s="75">
        <f t="shared" si="164"/>
        <v>59.528003128654113</v>
      </c>
      <c r="Q438" s="68">
        <f t="shared" si="163"/>
        <v>201.05484500406357</v>
      </c>
      <c r="R438" s="55">
        <f>48.1+7.35*2+2.9*2+1.11+26*2+37.6+0.23*4+262.5*0.1+17.4*3+410</f>
        <v>648.67999999999995</v>
      </c>
      <c r="S438" s="55">
        <v>648.67999999999995</v>
      </c>
      <c r="T438" s="78">
        <f t="shared" si="151"/>
        <v>648.67999999999995</v>
      </c>
      <c r="U438" s="9">
        <f t="shared" si="167"/>
        <v>1119.9108915580523</v>
      </c>
      <c r="V438" s="75">
        <f t="shared" ref="V438:V446" si="170">U438*25%</f>
        <v>279.97772288951307</v>
      </c>
      <c r="W438" s="42">
        <v>1400</v>
      </c>
      <c r="X438" s="71">
        <v>1399.6839567852276</v>
      </c>
      <c r="Y438" s="60">
        <f t="shared" si="152"/>
        <v>1.0002257961257899</v>
      </c>
      <c r="Z438" s="60">
        <f t="shared" si="168"/>
        <v>2.2579612578987884E-4</v>
      </c>
      <c r="AA438" s="14"/>
      <c r="AB438" s="47"/>
      <c r="AC438" s="16"/>
      <c r="AD438" s="5"/>
      <c r="AE438" s="5"/>
      <c r="AF438" s="5"/>
      <c r="AG438" s="5"/>
    </row>
    <row r="439" spans="1:33" s="66" customFormat="1" ht="15" customHeight="1" x14ac:dyDescent="0.2">
      <c r="A439" s="36" t="s">
        <v>921</v>
      </c>
      <c r="B439" s="27" t="s">
        <v>794</v>
      </c>
      <c r="C439" s="21">
        <v>942048</v>
      </c>
      <c r="D439" s="7">
        <v>1650</v>
      </c>
      <c r="E439" s="7">
        <v>20</v>
      </c>
      <c r="F439" s="8">
        <f t="shared" si="160"/>
        <v>190.31272727272727</v>
      </c>
      <c r="G439" s="33">
        <v>471732</v>
      </c>
      <c r="H439" s="7">
        <v>1925</v>
      </c>
      <c r="I439" s="7">
        <v>17</v>
      </c>
      <c r="J439" s="8">
        <f t="shared" si="169"/>
        <v>69.43241558441558</v>
      </c>
      <c r="K439" s="7">
        <v>458430</v>
      </c>
      <c r="L439" s="7">
        <v>846721</v>
      </c>
      <c r="M439" s="7">
        <v>21</v>
      </c>
      <c r="N439" s="75">
        <f t="shared" si="166"/>
        <v>11.369778238640592</v>
      </c>
      <c r="O439" s="75">
        <v>139.785</v>
      </c>
      <c r="P439" s="75">
        <f>O439*0.302</f>
        <v>42.215069999999997</v>
      </c>
      <c r="Q439" s="68">
        <f t="shared" si="163"/>
        <v>142.58070000000001</v>
      </c>
      <c r="R439" s="55">
        <f>46.5+2.3*2+15.12*2+1.11+0.28*5+11.92*5+18.3*0.5+53*2+27.7+0.367*3+1.5*5+0.23*8+37.6*5+65.6*0.5+1.675*2+1.678*5+1.65</f>
        <v>530.93099999999993</v>
      </c>
      <c r="S439" s="55">
        <v>530.93099999999993</v>
      </c>
      <c r="T439" s="78">
        <f t="shared" si="151"/>
        <v>530.93099999999993</v>
      </c>
      <c r="U439" s="9">
        <f>N439+O439+P439+Q439+T439</f>
        <v>866.88154823864056</v>
      </c>
      <c r="V439" s="75">
        <f t="shared" si="170"/>
        <v>216.72038705966014</v>
      </c>
      <c r="W439" s="42">
        <v>1084</v>
      </c>
      <c r="X439" s="71">
        <v>1083.6019352983008</v>
      </c>
      <c r="Y439" s="60">
        <f t="shared" si="152"/>
        <v>1.0003673532583621</v>
      </c>
      <c r="Z439" s="60">
        <f t="shared" si="168"/>
        <v>3.6735325836212418E-4</v>
      </c>
      <c r="AA439" s="14"/>
      <c r="AB439" s="47"/>
      <c r="AC439" s="16"/>
      <c r="AD439" s="5"/>
      <c r="AE439" s="5"/>
      <c r="AF439" s="5"/>
      <c r="AG439" s="5"/>
    </row>
    <row r="440" spans="1:33" ht="15" customHeight="1" x14ac:dyDescent="0.2">
      <c r="A440" s="36" t="s">
        <v>878</v>
      </c>
      <c r="B440" s="27" t="s">
        <v>26</v>
      </c>
      <c r="C440" s="21">
        <v>942048</v>
      </c>
      <c r="D440" s="7">
        <v>1650</v>
      </c>
      <c r="E440" s="7">
        <v>3</v>
      </c>
      <c r="F440" s="8">
        <f t="shared" si="160"/>
        <v>28.546909090909093</v>
      </c>
      <c r="G440" s="33">
        <v>471732</v>
      </c>
      <c r="H440" s="7">
        <v>1925</v>
      </c>
      <c r="I440" s="7">
        <v>3</v>
      </c>
      <c r="J440" s="8">
        <f t="shared" si="169"/>
        <v>12.252779220779221</v>
      </c>
      <c r="K440" s="7">
        <v>458430</v>
      </c>
      <c r="L440" s="7">
        <v>846721</v>
      </c>
      <c r="M440" s="7">
        <v>3</v>
      </c>
      <c r="N440" s="75">
        <f t="shared" si="166"/>
        <v>1.6242540340915133</v>
      </c>
      <c r="O440" s="75">
        <f t="shared" si="162"/>
        <v>42.423942345779828</v>
      </c>
      <c r="P440" s="75">
        <f t="shared" si="164"/>
        <v>12.812030588425507</v>
      </c>
      <c r="Q440" s="68">
        <f t="shared" si="163"/>
        <v>43.272421192695425</v>
      </c>
      <c r="R440" s="55">
        <v>0</v>
      </c>
      <c r="S440" s="55">
        <v>0</v>
      </c>
      <c r="T440" s="78">
        <f t="shared" si="151"/>
        <v>0</v>
      </c>
      <c r="U440" s="9">
        <f t="shared" si="167"/>
        <v>100.13264816099228</v>
      </c>
      <c r="V440" s="75">
        <f t="shared" si="170"/>
        <v>25.033162040248069</v>
      </c>
      <c r="W440" s="42">
        <v>125</v>
      </c>
      <c r="X440" s="71">
        <v>121.6087273440975</v>
      </c>
      <c r="Y440" s="60">
        <f t="shared" si="152"/>
        <v>1.0278867539358976</v>
      </c>
      <c r="Z440" s="60">
        <f t="shared" si="168"/>
        <v>2.7886753935897568E-2</v>
      </c>
      <c r="AA440" s="14"/>
    </row>
    <row r="441" spans="1:33" ht="15" customHeight="1" x14ac:dyDescent="0.2">
      <c r="A441" s="36" t="s">
        <v>879</v>
      </c>
      <c r="B441" s="27" t="s">
        <v>27</v>
      </c>
      <c r="C441" s="21">
        <v>942048</v>
      </c>
      <c r="D441" s="7">
        <v>1650</v>
      </c>
      <c r="E441" s="7">
        <v>7</v>
      </c>
      <c r="F441" s="8">
        <f t="shared" si="160"/>
        <v>66.609454545454554</v>
      </c>
      <c r="G441" s="33">
        <v>471732</v>
      </c>
      <c r="H441" s="7">
        <v>1925</v>
      </c>
      <c r="I441" s="7">
        <v>3</v>
      </c>
      <c r="J441" s="8">
        <f t="shared" si="169"/>
        <v>12.252779220779221</v>
      </c>
      <c r="K441" s="7">
        <v>458430</v>
      </c>
      <c r="L441" s="7">
        <f>846721+11735</f>
        <v>858456</v>
      </c>
      <c r="M441" s="7">
        <v>5</v>
      </c>
      <c r="N441" s="75">
        <f t="shared" si="166"/>
        <v>2.6700844306522411</v>
      </c>
      <c r="O441" s="75">
        <f t="shared" si="162"/>
        <v>81.53231819688601</v>
      </c>
      <c r="P441" s="75">
        <f t="shared" si="164"/>
        <v>24.622760095459576</v>
      </c>
      <c r="Q441" s="68">
        <f t="shared" si="163"/>
        <v>83.162964560823738</v>
      </c>
      <c r="R441" s="55">
        <f>46.5+9.95*2+2.3*2+1.11</f>
        <v>72.11</v>
      </c>
      <c r="S441" s="55">
        <v>72.11</v>
      </c>
      <c r="T441" s="78">
        <f t="shared" si="151"/>
        <v>72.11</v>
      </c>
      <c r="U441" s="9">
        <f t="shared" si="167"/>
        <v>264.09812728382155</v>
      </c>
      <c r="V441" s="75">
        <f t="shared" si="170"/>
        <v>66.024531820955389</v>
      </c>
      <c r="W441" s="42">
        <v>330</v>
      </c>
      <c r="X441" s="71">
        <v>320.57220274114059</v>
      </c>
      <c r="Y441" s="60">
        <f t="shared" si="152"/>
        <v>1.0294092787155107</v>
      </c>
      <c r="Z441" s="60">
        <f t="shared" si="168"/>
        <v>2.9409278715510689E-2</v>
      </c>
      <c r="AA441" s="14"/>
    </row>
    <row r="442" spans="1:33" ht="15" customHeight="1" x14ac:dyDescent="0.2">
      <c r="A442" s="36" t="s">
        <v>880</v>
      </c>
      <c r="B442" s="27" t="s">
        <v>73</v>
      </c>
      <c r="C442" s="21">
        <v>942048</v>
      </c>
      <c r="D442" s="7">
        <v>1650</v>
      </c>
      <c r="E442" s="7">
        <v>20</v>
      </c>
      <c r="F442" s="8">
        <f t="shared" si="160"/>
        <v>190.31272727272727</v>
      </c>
      <c r="G442" s="33">
        <v>471732</v>
      </c>
      <c r="H442" s="7">
        <v>1925</v>
      </c>
      <c r="I442" s="7">
        <v>15</v>
      </c>
      <c r="J442" s="8">
        <f t="shared" si="169"/>
        <v>61.263896103896101</v>
      </c>
      <c r="K442" s="7">
        <v>458430</v>
      </c>
      <c r="L442" s="7">
        <f>846721+11735</f>
        <v>858456</v>
      </c>
      <c r="M442" s="7">
        <v>25</v>
      </c>
      <c r="N442" s="75">
        <f t="shared" si="166"/>
        <v>13.350422153261205</v>
      </c>
      <c r="O442" s="75">
        <f t="shared" si="162"/>
        <v>264.92704552988459</v>
      </c>
      <c r="P442" s="75">
        <f t="shared" si="164"/>
        <v>80.007967750025145</v>
      </c>
      <c r="Q442" s="68">
        <f t="shared" si="163"/>
        <v>270.22558644048229</v>
      </c>
      <c r="R442" s="55">
        <f>48.1+1.11+9.95*2+2.9*2+0.23*31.5*5+0.28*10+1.5*3+25.6473*0.1</f>
        <v>120.99972999999999</v>
      </c>
      <c r="S442" s="55">
        <v>120.99972999999999</v>
      </c>
      <c r="T442" s="78">
        <f t="shared" si="151"/>
        <v>120.99972999999999</v>
      </c>
      <c r="U442" s="9">
        <f t="shared" si="167"/>
        <v>749.51075187365325</v>
      </c>
      <c r="V442" s="75">
        <f t="shared" si="170"/>
        <v>187.37768796841331</v>
      </c>
      <c r="W442" s="42">
        <v>937</v>
      </c>
      <c r="X442" s="71">
        <v>916.80173256933926</v>
      </c>
      <c r="Y442" s="60">
        <f t="shared" si="152"/>
        <v>1.0220312273778704</v>
      </c>
      <c r="Z442" s="60">
        <f t="shared" si="168"/>
        <v>2.2031227377870444E-2</v>
      </c>
      <c r="AA442" s="14"/>
    </row>
    <row r="443" spans="1:33" ht="15" customHeight="1" x14ac:dyDescent="0.2">
      <c r="A443" s="36" t="s">
        <v>776</v>
      </c>
      <c r="B443" s="27" t="s">
        <v>74</v>
      </c>
      <c r="C443" s="21">
        <v>942048</v>
      </c>
      <c r="D443" s="7">
        <v>1650</v>
      </c>
      <c r="E443" s="7">
        <v>7</v>
      </c>
      <c r="F443" s="8">
        <f t="shared" si="160"/>
        <v>66.609454545454554</v>
      </c>
      <c r="G443" s="33">
        <v>471732</v>
      </c>
      <c r="H443" s="7">
        <v>1925</v>
      </c>
      <c r="I443" s="7">
        <v>3</v>
      </c>
      <c r="J443" s="8">
        <f t="shared" si="169"/>
        <v>12.252779220779221</v>
      </c>
      <c r="K443" s="7">
        <v>458430</v>
      </c>
      <c r="L443" s="7">
        <v>846721</v>
      </c>
      <c r="M443" s="7">
        <v>3</v>
      </c>
      <c r="N443" s="75">
        <f t="shared" si="166"/>
        <v>1.6242540340915133</v>
      </c>
      <c r="O443" s="75">
        <f t="shared" si="162"/>
        <v>80.486487800325278</v>
      </c>
      <c r="P443" s="75">
        <f t="shared" si="164"/>
        <v>24.306919315698234</v>
      </c>
      <c r="Q443" s="68">
        <f t="shared" si="163"/>
        <v>82.09621755633178</v>
      </c>
      <c r="R443" s="55">
        <f>46.5+2.3*2+9.95*2+1.11+0.23*4</f>
        <v>73.03</v>
      </c>
      <c r="S443" s="55">
        <v>73.03</v>
      </c>
      <c r="T443" s="78">
        <f t="shared" si="151"/>
        <v>73.03</v>
      </c>
      <c r="U443" s="9">
        <f t="shared" si="167"/>
        <v>261.54387870644678</v>
      </c>
      <c r="V443" s="75">
        <f t="shared" si="170"/>
        <v>65.385969676611694</v>
      </c>
      <c r="W443" s="42">
        <v>327</v>
      </c>
      <c r="X443" s="71">
        <v>317.37939201942214</v>
      </c>
      <c r="Y443" s="60">
        <f t="shared" si="152"/>
        <v>1.0303126422902378</v>
      </c>
      <c r="Z443" s="60">
        <f t="shared" si="168"/>
        <v>3.0312642290237779E-2</v>
      </c>
      <c r="AA443" s="14"/>
    </row>
    <row r="444" spans="1:33" ht="15" customHeight="1" x14ac:dyDescent="0.2">
      <c r="A444" s="36" t="s">
        <v>777</v>
      </c>
      <c r="B444" s="27" t="s">
        <v>232</v>
      </c>
      <c r="C444" s="21">
        <v>942048</v>
      </c>
      <c r="D444" s="7">
        <v>1650</v>
      </c>
      <c r="E444" s="7">
        <v>9</v>
      </c>
      <c r="F444" s="8">
        <f t="shared" si="160"/>
        <v>85.640727272727275</v>
      </c>
      <c r="G444" s="33">
        <v>471732</v>
      </c>
      <c r="H444" s="7">
        <v>1925</v>
      </c>
      <c r="I444" s="7">
        <v>7</v>
      </c>
      <c r="J444" s="8">
        <f t="shared" si="169"/>
        <v>28.589818181818181</v>
      </c>
      <c r="K444" s="7">
        <v>470430</v>
      </c>
      <c r="L444" s="7">
        <v>846721</v>
      </c>
      <c r="M444" s="7">
        <v>10</v>
      </c>
      <c r="N444" s="75">
        <f t="shared" si="166"/>
        <v>5.5559033022683977</v>
      </c>
      <c r="O444" s="75">
        <f t="shared" si="162"/>
        <v>119.78644875681385</v>
      </c>
      <c r="P444" s="75">
        <f t="shared" si="164"/>
        <v>36.17550752455778</v>
      </c>
      <c r="Q444" s="68">
        <f t="shared" si="163"/>
        <v>122.18217773195013</v>
      </c>
      <c r="R444" s="55">
        <f>48.1+2.9*2+9.95*2+1.11+1.675*2+0.23*4+364*0.1</f>
        <v>115.57999999999998</v>
      </c>
      <c r="S444" s="55">
        <v>115.57999999999998</v>
      </c>
      <c r="T444" s="78">
        <f t="shared" si="151"/>
        <v>115.57999999999998</v>
      </c>
      <c r="U444" s="9">
        <f t="shared" si="167"/>
        <v>399.28003731559016</v>
      </c>
      <c r="V444" s="75">
        <f t="shared" si="170"/>
        <v>99.820009328897541</v>
      </c>
      <c r="W444" s="42">
        <v>499</v>
      </c>
      <c r="X444" s="71">
        <v>491.03888690422792</v>
      </c>
      <c r="Y444" s="60">
        <f t="shared" si="152"/>
        <v>1.0162127955811466</v>
      </c>
      <c r="Z444" s="60">
        <f t="shared" si="168"/>
        <v>1.6212795581146633E-2</v>
      </c>
      <c r="AA444" s="14"/>
    </row>
    <row r="445" spans="1:33" ht="15" customHeight="1" x14ac:dyDescent="0.2">
      <c r="A445" s="36" t="s">
        <v>778</v>
      </c>
      <c r="B445" s="27" t="s">
        <v>53</v>
      </c>
      <c r="C445" s="7">
        <v>942048</v>
      </c>
      <c r="D445" s="7">
        <v>1650</v>
      </c>
      <c r="E445" s="7">
        <v>4</v>
      </c>
      <c r="F445" s="8">
        <f t="shared" si="160"/>
        <v>38.062545454545457</v>
      </c>
      <c r="G445" s="33">
        <v>471732</v>
      </c>
      <c r="H445" s="7">
        <v>1925</v>
      </c>
      <c r="I445" s="7">
        <v>1</v>
      </c>
      <c r="J445" s="8">
        <f>G445/H445/60*I445</f>
        <v>4.08425974025974</v>
      </c>
      <c r="K445" s="7">
        <v>458430</v>
      </c>
      <c r="L445" s="7">
        <v>846721</v>
      </c>
      <c r="M445" s="7">
        <v>3</v>
      </c>
      <c r="N445" s="75">
        <f t="shared" si="166"/>
        <v>1.6242540340915133</v>
      </c>
      <c r="O445" s="75">
        <f t="shared" si="162"/>
        <v>43.771059228896711</v>
      </c>
      <c r="P445" s="75">
        <f t="shared" si="164"/>
        <v>13.218859887126806</v>
      </c>
      <c r="Q445" s="69">
        <f t="shared" si="163"/>
        <v>44.646480413474649</v>
      </c>
      <c r="R445" s="55">
        <v>1</v>
      </c>
      <c r="S445" s="55">
        <v>1</v>
      </c>
      <c r="T445" s="78">
        <f>S445*1</f>
        <v>1</v>
      </c>
      <c r="U445" s="9">
        <f>N445+O445+P445+Q445+T445</f>
        <v>104.26065356358967</v>
      </c>
      <c r="V445" s="75">
        <f t="shared" si="170"/>
        <v>26.065163390897418</v>
      </c>
      <c r="W445" s="42">
        <v>130</v>
      </c>
      <c r="X445" s="71">
        <v>123.02739903240916</v>
      </c>
      <c r="Y445" s="60">
        <f t="shared" si="152"/>
        <v>1.0566751879860032</v>
      </c>
      <c r="Z445" s="60">
        <f t="shared" si="168"/>
        <v>5.6675187986003239E-2</v>
      </c>
      <c r="AA445" s="14"/>
    </row>
    <row r="446" spans="1:33" ht="15" customHeight="1" x14ac:dyDescent="0.2">
      <c r="A446" s="36" t="s">
        <v>923</v>
      </c>
      <c r="B446" s="27" t="s">
        <v>922</v>
      </c>
      <c r="C446" s="7">
        <v>942048</v>
      </c>
      <c r="D446" s="7">
        <v>1925</v>
      </c>
      <c r="E446" s="7">
        <v>0</v>
      </c>
      <c r="F446" s="8">
        <f t="shared" si="160"/>
        <v>0</v>
      </c>
      <c r="G446" s="33">
        <v>471732</v>
      </c>
      <c r="H446" s="7">
        <v>1925</v>
      </c>
      <c r="I446" s="7">
        <v>40</v>
      </c>
      <c r="J446" s="8">
        <f>G446/H446/60*I446</f>
        <v>163.37038961038959</v>
      </c>
      <c r="K446" s="7">
        <v>2656000</v>
      </c>
      <c r="L446" s="7">
        <v>846720</v>
      </c>
      <c r="M446" s="7">
        <v>40</v>
      </c>
      <c r="N446" s="75">
        <f t="shared" si="166"/>
        <v>125.4724111866969</v>
      </c>
      <c r="O446" s="75">
        <f t="shared" si="162"/>
        <v>288.84280079708651</v>
      </c>
      <c r="P446" s="75">
        <f t="shared" si="164"/>
        <v>87.230525840720119</v>
      </c>
      <c r="Q446" s="122">
        <f t="shared" si="163"/>
        <v>294.61965681302826</v>
      </c>
      <c r="R446" s="55"/>
      <c r="S446" s="55">
        <f>64+0.7+100+0.9</f>
        <v>165.6</v>
      </c>
      <c r="T446" s="78">
        <f>S446*1</f>
        <v>165.6</v>
      </c>
      <c r="U446" s="9">
        <f>N446+O446+P446+Q446+T446</f>
        <v>961.76539463753181</v>
      </c>
      <c r="V446" s="75">
        <f t="shared" si="170"/>
        <v>240.44134865938295</v>
      </c>
      <c r="W446" s="95">
        <f>V446+U446</f>
        <v>1202.2067432969147</v>
      </c>
      <c r="X446" s="121"/>
      <c r="Y446" s="60"/>
      <c r="Z446" s="60"/>
      <c r="AA446" s="14"/>
    </row>
    <row r="447" spans="1:33" ht="15" customHeight="1" x14ac:dyDescent="0.2">
      <c r="B447" s="23"/>
      <c r="C447" s="18"/>
      <c r="D447" s="18"/>
      <c r="E447" s="18"/>
      <c r="F447" s="24"/>
      <c r="G447" s="25"/>
      <c r="H447" s="18"/>
      <c r="I447" s="18"/>
      <c r="J447" s="24"/>
      <c r="K447" s="18"/>
      <c r="L447" s="18"/>
      <c r="M447" s="18"/>
      <c r="N447" s="87"/>
      <c r="O447" s="87"/>
      <c r="P447" s="87"/>
      <c r="Q447" s="122"/>
      <c r="R447" s="55"/>
      <c r="U447" s="24"/>
      <c r="V447" s="87"/>
      <c r="W447" s="44"/>
      <c r="X447" s="51"/>
      <c r="AA447" s="14"/>
    </row>
    <row r="449" spans="1:29" s="3" customFormat="1" ht="15" customHeight="1" x14ac:dyDescent="0.2">
      <c r="A449" s="197" t="s">
        <v>721</v>
      </c>
      <c r="B449" s="198"/>
      <c r="C449" s="198"/>
      <c r="D449" s="198"/>
      <c r="E449" s="198"/>
      <c r="F449" s="198"/>
      <c r="G449" s="198"/>
      <c r="H449" s="198"/>
      <c r="I449" s="198"/>
      <c r="J449" s="198"/>
      <c r="K449" s="198"/>
      <c r="L449" s="198"/>
      <c r="M449" s="198"/>
      <c r="N449" s="198"/>
      <c r="O449" s="198"/>
      <c r="P449" s="198"/>
      <c r="Q449" s="198"/>
      <c r="R449" s="198"/>
      <c r="S449" s="198"/>
      <c r="T449" s="198"/>
      <c r="U449" s="198"/>
      <c r="V449" s="198"/>
      <c r="W449" s="198"/>
      <c r="X449" s="49"/>
      <c r="Y449" s="49"/>
      <c r="Z449" s="49"/>
      <c r="AB449" s="50"/>
      <c r="AC449" s="17"/>
    </row>
    <row r="450" spans="1:29" s="3" customFormat="1" ht="15" customHeight="1" x14ac:dyDescent="0.25">
      <c r="A450" s="40"/>
      <c r="B450" s="13"/>
      <c r="C450" s="1"/>
      <c r="D450" s="1"/>
      <c r="E450" s="1"/>
      <c r="F450" s="2"/>
      <c r="G450" s="17"/>
      <c r="H450" s="1"/>
      <c r="I450" s="1"/>
      <c r="J450" s="2"/>
      <c r="K450" s="1"/>
      <c r="L450" s="1"/>
      <c r="M450" s="1"/>
      <c r="N450" s="89"/>
      <c r="O450" s="89"/>
      <c r="P450" s="89"/>
      <c r="Q450" s="2"/>
      <c r="R450" s="57"/>
      <c r="S450" s="56"/>
      <c r="T450" s="93"/>
      <c r="U450" s="2"/>
      <c r="V450" s="89"/>
      <c r="W450" s="45"/>
      <c r="X450" s="49"/>
      <c r="Y450" s="49"/>
      <c r="Z450" s="49"/>
      <c r="AB450" s="50"/>
      <c r="AC450" s="17"/>
    </row>
  </sheetData>
  <mergeCells count="16">
    <mergeCell ref="B1:W1"/>
    <mergeCell ref="B4:W4"/>
    <mergeCell ref="B5:B6"/>
    <mergeCell ref="G5:J5"/>
    <mergeCell ref="K5:N5"/>
    <mergeCell ref="O5:O6"/>
    <mergeCell ref="P5:P6"/>
    <mergeCell ref="Q5:Q6"/>
    <mergeCell ref="A449:W449"/>
    <mergeCell ref="R5:R6"/>
    <mergeCell ref="S5:S6"/>
    <mergeCell ref="T5:T6"/>
    <mergeCell ref="U5:U6"/>
    <mergeCell ref="V5:V6"/>
    <mergeCell ref="W5:W6"/>
    <mergeCell ref="A5:A6"/>
  </mergeCells>
  <pageMargins left="0.23622047244094491" right="0.23622047244094491" top="0.35433070866141736" bottom="0.35433070866141736" header="0.31496062992125984" footer="0.31496062992125984"/>
  <pageSetup scale="19" fitToHeight="0" orientation="portrait" r:id="rId1"/>
  <headerFooter alignWithMargins="0"/>
  <rowBreaks count="6" manualBreakCount="6">
    <brk id="28" max="24" man="1"/>
    <brk id="73" max="24" man="1"/>
    <brk id="222" max="24" man="1"/>
    <brk id="241" max="24" man="1"/>
    <brk id="317" max="24" man="1"/>
    <brk id="367" max="24" man="1"/>
  </rowBreaks>
  <colBreaks count="1" manualBreakCount="1">
    <brk id="24" max="4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расцен без стоим</vt:lpstr>
      <vt:lpstr>для пр пр</vt:lpstr>
      <vt:lpstr>'для пр пр'!Область_печати</vt:lpstr>
      <vt:lpstr>'расцен без стоим'!Область_печати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Олешко Н.В.</dc:creator>
  <cp:lastModifiedBy>Олешко Н.В.</cp:lastModifiedBy>
  <cp:lastPrinted>2020-02-28T03:28:33Z</cp:lastPrinted>
  <dcterms:created xsi:type="dcterms:W3CDTF">2002-02-13T05:35:38Z</dcterms:created>
  <dcterms:modified xsi:type="dcterms:W3CDTF">2020-03-02T05:14:09Z</dcterms:modified>
</cp:coreProperties>
</file>