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расцен без стоим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'расцен без стоим'!$A$1:$AA$477</definedName>
  </definedNames>
  <calcPr fullCalcOnLoad="1" refMode="R1C1"/>
</workbook>
</file>

<file path=xl/sharedStrings.xml><?xml version="1.0" encoding="utf-8"?>
<sst xmlns="http://schemas.openxmlformats.org/spreadsheetml/2006/main" count="995" uniqueCount="956">
  <si>
    <t>Прием терапевта</t>
  </si>
  <si>
    <t>Прием дерматолога</t>
  </si>
  <si>
    <t>Посещение терапевта на дому</t>
  </si>
  <si>
    <t>Посещение кардиолога на дому</t>
  </si>
  <si>
    <t>Прием эндокринолога</t>
  </si>
  <si>
    <t>Посещение эндокринолога на дому</t>
  </si>
  <si>
    <t>Прием психотерапевта</t>
  </si>
  <si>
    <t>Прием невролога</t>
  </si>
  <si>
    <t>Прием врача мануальной терапии</t>
  </si>
  <si>
    <t>Внутривенная инъекция</t>
  </si>
  <si>
    <t>Внутримышечная и подкожная инъекция</t>
  </si>
  <si>
    <t>Флюорография</t>
  </si>
  <si>
    <t>Спирография</t>
  </si>
  <si>
    <t>Промывание мочевого пузыря</t>
  </si>
  <si>
    <t>Взятие мазков из молочных желез</t>
  </si>
  <si>
    <t>Кольпоскопия</t>
  </si>
  <si>
    <t>Прием гинеколога</t>
  </si>
  <si>
    <t>Вращательная проба</t>
  </si>
  <si>
    <t>Промывание лакун миндалин</t>
  </si>
  <si>
    <t>Зондирование слезных канальцев</t>
  </si>
  <si>
    <t>Тонометрия</t>
  </si>
  <si>
    <t>Подбор очков астигматикам</t>
  </si>
  <si>
    <t>Периметрия обзорная на белый объект</t>
  </si>
  <si>
    <t>Периметрия на цветные объекты</t>
  </si>
  <si>
    <t>Прием травматолога-ортопеда</t>
  </si>
  <si>
    <t>Забор крови на дому</t>
  </si>
  <si>
    <t>Исследование на демодекс</t>
  </si>
  <si>
    <t>Реакция микропреципитации</t>
  </si>
  <si>
    <t>Осмотр врача стоматолога</t>
  </si>
  <si>
    <t>Консультация врача стоматолога</t>
  </si>
  <si>
    <t>Удаление пломбы</t>
  </si>
  <si>
    <t>Покрытие фиссур 1-го зуба герметиком</t>
  </si>
  <si>
    <t>Обучение гигиене полости рта</t>
  </si>
  <si>
    <t>Трепанация интактного зуба</t>
  </si>
  <si>
    <t>Внутриканальная диатермокоагуляция</t>
  </si>
  <si>
    <t>Прием врача по лечебной физкультуре</t>
  </si>
  <si>
    <t>Прием врача физиотерапевта</t>
  </si>
  <si>
    <t>Консультация заведующего отделением</t>
  </si>
  <si>
    <t>Рентгенография зубов (1 зуб)</t>
  </si>
  <si>
    <t>Цистоскопия</t>
  </si>
  <si>
    <t>Взятие крови из вены</t>
  </si>
  <si>
    <t>Электростимуляция сетчатки</t>
  </si>
  <si>
    <t>Определение СОЭ</t>
  </si>
  <si>
    <t>Длительность кровотечения</t>
  </si>
  <si>
    <t>Время свертывания крови</t>
  </si>
  <si>
    <t>Микроскопия в моче</t>
  </si>
  <si>
    <t>Вливание в гортань</t>
  </si>
  <si>
    <t>Реэнцефалография</t>
  </si>
  <si>
    <t>Биомикроскопия</t>
  </si>
  <si>
    <t>Скиаскопия</t>
  </si>
  <si>
    <t>Заполнение посыльного листа</t>
  </si>
  <si>
    <t>Определение гематокрита</t>
  </si>
  <si>
    <t>Мануальная терапия на суставах ( 1 сеанс)</t>
  </si>
  <si>
    <t>Исследование глазного дна</t>
  </si>
  <si>
    <t>Посещение невролога на дому</t>
  </si>
  <si>
    <t>Прием ревматолога</t>
  </si>
  <si>
    <t>Прием кардиолога</t>
  </si>
  <si>
    <t>Посещение ревматолога на дому</t>
  </si>
  <si>
    <t>Посещение гинеколога на дому</t>
  </si>
  <si>
    <t>Посещение уролога на дому</t>
  </si>
  <si>
    <t>Экспертное заключение профпригодности</t>
  </si>
  <si>
    <t>Наименование услуг</t>
  </si>
  <si>
    <t>Средний мед. персонал</t>
  </si>
  <si>
    <t>Рабочих часов в год</t>
  </si>
  <si>
    <t>Посещение дерматолога на дому</t>
  </si>
  <si>
    <t>Холтеровское мониторирование ЭКГ</t>
  </si>
  <si>
    <t>Внутривенная инъекция на дому</t>
  </si>
  <si>
    <t>Внутримышечная и подкожная инъекция на дому</t>
  </si>
  <si>
    <t>Эзофагогастродуоденоскопия (ЭФГДС)</t>
  </si>
  <si>
    <t>Эзофагогастродуоденоскопия (ЭФГДС) с биопсией</t>
  </si>
  <si>
    <t>Врачи</t>
  </si>
  <si>
    <t>Чтение дентальной рентгенограммы</t>
  </si>
  <si>
    <t>Электрокардиография</t>
  </si>
  <si>
    <t>Электрокардиография на дому</t>
  </si>
  <si>
    <t>Рентабельность 25%</t>
  </si>
  <si>
    <t>Общий анализ крови</t>
  </si>
  <si>
    <t>Общий анализ мочи</t>
  </si>
  <si>
    <t>Затраты времени на одно посещение (минут)</t>
  </si>
  <si>
    <t>Затраты времени (минут)</t>
  </si>
  <si>
    <t>Годовой ФОТ (руб.)</t>
  </si>
  <si>
    <t>Сумма основной з/платы (руб.)</t>
  </si>
  <si>
    <t>ИТОГО сумма основной з/платы (руб.)</t>
  </si>
  <si>
    <t>Материалы (руб.)</t>
  </si>
  <si>
    <t>ИТОГО (руб.)</t>
  </si>
  <si>
    <t>ВСЕГО стоимость услуги</t>
  </si>
  <si>
    <t>Прием врача по спортивной медицине</t>
  </si>
  <si>
    <t>Рентгенография нижней челюсти (1 проекция)</t>
  </si>
  <si>
    <t>Рентгенография околоносовых пазух (1 проекция)</t>
  </si>
  <si>
    <t>Рентгенография костей таза (1 проекция)</t>
  </si>
  <si>
    <t>Извлечение инородного тела из канала корневого зуба</t>
  </si>
  <si>
    <t>Восстановление разрушенной коронки с помощью проволочного каркаса (анкер)</t>
  </si>
  <si>
    <t>Проведение реминерализации за каждое последующее посещение</t>
  </si>
  <si>
    <t>Подготовка пациента к внутриканальной электрокоагуляции</t>
  </si>
  <si>
    <t>Лечение пульпита с пломбировкой 2-х корневого зуба</t>
  </si>
  <si>
    <t>Лечение пульпита с пломбировкой 3-х корневого зуба</t>
  </si>
  <si>
    <t>Лечение осложненного кариеса импортным препаратом</t>
  </si>
  <si>
    <t>Использование импортных полировочных наборов</t>
  </si>
  <si>
    <t>Удаление доброкачественной опухоли кожи</t>
  </si>
  <si>
    <t>Некрэктомия</t>
  </si>
  <si>
    <t>Оптическая отоскопия</t>
  </si>
  <si>
    <t>Консультация  кандидата наук</t>
  </si>
  <si>
    <t>Электрофорез наружный (1 поле)</t>
  </si>
  <si>
    <t>Подсчет тромбоцитов</t>
  </si>
  <si>
    <t>Исследование крови 3 показателя (эритроциты, лейкоциты, гемоглобин)</t>
  </si>
  <si>
    <t>Мануальная терапия классическая (1 сеанс)</t>
  </si>
  <si>
    <t>Мануальная терапия краниальная (1 сеанс)</t>
  </si>
  <si>
    <t>Мануальная терапия висцеральная (1 сеанс)</t>
  </si>
  <si>
    <t xml:space="preserve">Тракция подводная горизонтальная (1 сеанс) </t>
  </si>
  <si>
    <t>Ударно-волновая терапия радиальная (1 сустав)</t>
  </si>
  <si>
    <t>Ударно-волновая терапия фокусированная (1 сустав)</t>
  </si>
  <si>
    <t>Прием рефлексотерапевта</t>
  </si>
  <si>
    <t>Прием хирурга</t>
  </si>
  <si>
    <t>Прием уролога</t>
  </si>
  <si>
    <t>Предрейсовый осмотр (1 день)</t>
  </si>
  <si>
    <t>Перевязка ран, хирургическая обработка</t>
  </si>
  <si>
    <t>Обзор брюшной полости и малого таза на предмет жидкости</t>
  </si>
  <si>
    <t>Постановка внутривенной инфузионной системы на дому (1 флакон)</t>
  </si>
  <si>
    <t>Измерение артериального давления</t>
  </si>
  <si>
    <t>Рентгенография кистей и стоп (1 проекция)</t>
  </si>
  <si>
    <t>Обзорный снимок почек (1 снимок)</t>
  </si>
  <si>
    <t>Экскреторная урография (3 снимка)</t>
  </si>
  <si>
    <t>Рентгенография прицельная (1 снимок)</t>
  </si>
  <si>
    <t>Рентгенография брюшной полости (1 снимок)</t>
  </si>
  <si>
    <t>Описание рентгенограмм (1 рентгенограмма)</t>
  </si>
  <si>
    <t>Рентгенография лопатки (1 снимок)</t>
  </si>
  <si>
    <t>Рентгенография ребер (1 снимок)</t>
  </si>
  <si>
    <t>Рентгенография височных костей по Шуллеру и Стенверсу (1 снимок)</t>
  </si>
  <si>
    <t>Рентгенография шейного отдела (2 проекции + сгибание + разгибание)</t>
  </si>
  <si>
    <t>Суточное мониторирование артериального давления</t>
  </si>
  <si>
    <t>Избирательная пришлифовка зубов</t>
  </si>
  <si>
    <t>Перфорация канала корня Pro Root</t>
  </si>
  <si>
    <t>Прием гастроэнтеролога</t>
  </si>
  <si>
    <r>
      <t>Прием врачей поликлиники</t>
    </r>
  </si>
  <si>
    <t>Дерматологические услуги</t>
  </si>
  <si>
    <t>Манипуляции</t>
  </si>
  <si>
    <r>
      <t>Рентгенография</t>
    </r>
  </si>
  <si>
    <t>Функциональная диагностика</t>
  </si>
  <si>
    <t>Аппаратная физиотерапия</t>
  </si>
  <si>
    <r>
      <t>Гидротерапия</t>
    </r>
  </si>
  <si>
    <t>ЛФК и массаж</t>
  </si>
  <si>
    <r>
      <t>Рефлексотерапия</t>
    </r>
  </si>
  <si>
    <t>Урология</t>
  </si>
  <si>
    <r>
      <t>Хирургия</t>
    </r>
  </si>
  <si>
    <r>
      <t>Гинекология</t>
    </r>
  </si>
  <si>
    <r>
      <t>Лаборатория</t>
    </r>
  </si>
  <si>
    <t>ориентир стоимость</t>
  </si>
  <si>
    <t>Лазеротерапия наружная (1 сеанс)</t>
  </si>
  <si>
    <t>Реклинация блоков позвоночника пассивная аутогравитационная (ДЭТЕНЗОР, ГРЭВИТРИН) (1 занятие)</t>
  </si>
  <si>
    <t>Тракция аппаратная "сухая" (1 сеанс)</t>
  </si>
  <si>
    <t>Психотерапия индивидуальная (1 занятие)</t>
  </si>
  <si>
    <t>Психотерапия групповая (1 занятие)</t>
  </si>
  <si>
    <t>Аудио-визуальная стимуляция (1 сеанс)</t>
  </si>
  <si>
    <t>Микроволновая терапия дециметрового диапазона (1 процедура)</t>
  </si>
  <si>
    <t>Лазеротерапия внутривенная (1 процедура)</t>
  </si>
  <si>
    <t>Магнитотерапия (1 процедура)</t>
  </si>
  <si>
    <t>Ультрафиолетовое облучение общее (1 процедура)</t>
  </si>
  <si>
    <t>Ультразвуковая терапия, фонофорез (1 процедура)</t>
  </si>
  <si>
    <t>Электростимуляция транскраниальная (1 процедура)</t>
  </si>
  <si>
    <t>Хромотерапия общая (1 сеанс)</t>
  </si>
  <si>
    <t>Ультравысокочастотная терапия (УВЧ-терапия, индуктотермия) (1 процедура)</t>
  </si>
  <si>
    <t>Крайне высоко частотная-терапия (КВЧ-терапия) (1 сеанс)</t>
  </si>
  <si>
    <t>Криотерапия аппаратная локальная (1 процедура до 15 минут)</t>
  </si>
  <si>
    <t>Парафинотерапия (1 поле)</t>
  </si>
  <si>
    <t>Электротерапия низко-среднечастотная импульсная (1 процедура)</t>
  </si>
  <si>
    <t>Ванны вихревые локальные (1 процедура)</t>
  </si>
  <si>
    <t>Ванны струйно-контрастные (1 процедура)</t>
  </si>
  <si>
    <t>Ванны жемчужные общие (1 процедура)</t>
  </si>
  <si>
    <t>Гидромассаж аппаратный программный (1 процедура)</t>
  </si>
  <si>
    <t>Гидромассаж ручной общий (1 процедура 20 минут)</t>
  </si>
  <si>
    <t>Гидромассаж ручной локальный  (1 процедура 12 минут)</t>
  </si>
  <si>
    <t>Лечебная гимнастика групповая (1 занятие)</t>
  </si>
  <si>
    <t>Лечебная гимнастика индивидуальная, проводимая инструктором (1 занятие)</t>
  </si>
  <si>
    <t>Лечебная гимнастика индивидуальная, проводимая врачом (1 занятие)</t>
  </si>
  <si>
    <t>Лечебная гимнастика индивидуальная на дому, проводимая инструктором (1 занятие)</t>
  </si>
  <si>
    <t>Лечебная гимнастика индивидуальная на дому, проводимая врачом (1 занятие)</t>
  </si>
  <si>
    <t xml:space="preserve">Гимнастика динамическая программная на системе KINITEC, 1 вид движений (1 занятие) </t>
  </si>
  <si>
    <t xml:space="preserve">Гимнастика динамическая программная на системе KINITEC, более 1 вида движений (1 занятие) </t>
  </si>
  <si>
    <t>Механотерапия лечебная на системе DAVID BACK CONCEPT по индивидуальной программе (1 сеанс)</t>
  </si>
  <si>
    <t>Механотерапия лечебная расширенная (Кросс, Эллипс) (1 сеанс)</t>
  </si>
  <si>
    <t>Массаж ручной волосистой части головы (1 сеанс)</t>
  </si>
  <si>
    <t>Массаж ручной лица (1 сеанс)</t>
  </si>
  <si>
    <t>Массаж ручной грудной клетки (1 сеанс)</t>
  </si>
  <si>
    <t>Массаж ручной живота (1 сеанс)</t>
  </si>
  <si>
    <t>Массаж ручной спины (1 сеанс)</t>
  </si>
  <si>
    <t>Массаж ручной верхней конечности (1 сеанс)</t>
  </si>
  <si>
    <t>Массаж ручной плечевого сустава (1 сеанс)</t>
  </si>
  <si>
    <t>Массаж ручной нижней конечности (1 сеанс)</t>
  </si>
  <si>
    <t>Массаж ручной позвоночника (1 сеанс)</t>
  </si>
  <si>
    <t>Массаж ручной шейно-грудной области (1 сеанс)</t>
  </si>
  <si>
    <t>Массаж ручной шейно-воротниковой области (1 сеанс)</t>
  </si>
  <si>
    <t>Массаж ручной шейно-воротниковой области и верхней конечности (1 сеанс)</t>
  </si>
  <si>
    <t>Массаж ручной пояснично-крестцового отдела позвоночника (1 сеанс)</t>
  </si>
  <si>
    <t>Массаж ручной пояснично-крестцовой области и тазобренного сустава (1 сеанс)</t>
  </si>
  <si>
    <t>Массаж аппаратный механический (1 процедура)</t>
  </si>
  <si>
    <t>Массаж вакуумный (1 процедура)</t>
  </si>
  <si>
    <t>Тестирование позвоночника на цифровой системе DAVID BACK CONCEPT (1 исследование)</t>
  </si>
  <si>
    <t>Анализ результатов тестирования на системе DAVID BACK CONCEPT, расчеты индивидуальной программы тренинга, протокол (1 тест)</t>
  </si>
  <si>
    <t>Рефлексотерапия аппаратная (электро, лазеро, магнито, теплопунктура) (1 сеанс)</t>
  </si>
  <si>
    <t>Рефлексотерапия корпоральная (1 сеанс)</t>
  </si>
  <si>
    <t>Рефлексотерапия по акупунктурным микросистемам (1 сеанс)</t>
  </si>
  <si>
    <t>Рефлексотерапевтический массаж (1 сеанс)</t>
  </si>
  <si>
    <t>Рефлексотерапия лекарственная (инъекционная) (1 сеанс)</t>
  </si>
  <si>
    <t>Вакуум-терапия традиционная (1 сеанс)</t>
  </si>
  <si>
    <t>Аурикулодиагностика (1 сеанс)</t>
  </si>
  <si>
    <t>Мокса-терапия (прогревание) (1 сеанс)</t>
  </si>
  <si>
    <t>Динамическая нейроадаптивная стимуляция и аналгезия (1 сеанс)</t>
  </si>
  <si>
    <t>Инъекции под коньюнктиву и парабульбарно</t>
  </si>
  <si>
    <t>Гониоскопия</t>
  </si>
  <si>
    <t>Взятие мазков с коньюнктивы на микрофлору</t>
  </si>
  <si>
    <t xml:space="preserve">Инъекции под кожу висков </t>
  </si>
  <si>
    <t>Обработка полости глазницы под протез, удаление мелких образований глаза</t>
  </si>
  <si>
    <t>Рентгенография костей носа (1 проекция)</t>
  </si>
  <si>
    <t>Рентгенография поясничного отдела позвоночника (сгиб + разгиб) (2 проекции)</t>
  </si>
  <si>
    <t>Рентгенография органов грудной клетки (обзорная) (1 проекция)</t>
  </si>
  <si>
    <t>Рентгенография стоп с нагрузкой (продольное плоскостопие) (1 проекция)</t>
  </si>
  <si>
    <t>Рентгенография стоп с нагрузкой (продольное плоскостопие) (2 проекции)</t>
  </si>
  <si>
    <t>Рентгенография стоп с нагрузкой (поперечное плоскостопие) (1 проекция)</t>
  </si>
  <si>
    <t>Рентгенография стоп с нагрузкой (поперечное плоскостопие) (2 проекции)</t>
  </si>
  <si>
    <t>Взятие мазка на BL из зева и носа</t>
  </si>
  <si>
    <t>Блокада новокаиновая односторонняя</t>
  </si>
  <si>
    <t>Продувание по Политцеру с одной стороны</t>
  </si>
  <si>
    <t>Промывание уха с одной стороны</t>
  </si>
  <si>
    <t>Введение лекарственного вещества в наружный слуховой проход</t>
  </si>
  <si>
    <t>Аудиометрия</t>
  </si>
  <si>
    <t>Удаление пробок из уха крючком</t>
  </si>
  <si>
    <t>Удаление инородного тела из гортани, глотки</t>
  </si>
  <si>
    <t>Остановка носового кровотечения</t>
  </si>
  <si>
    <t>Массаж барабанной перепонки с одной стороны</t>
  </si>
  <si>
    <t>Лечение на аппарате "Тонзилор-М"</t>
  </si>
  <si>
    <t>Обследование придаточных пазух носа аппаратом "Синускан"</t>
  </si>
  <si>
    <t>Взятие мазка</t>
  </si>
  <si>
    <t>Введение внутриматочной спирали</t>
  </si>
  <si>
    <t>Удаление внутриматочной спирали</t>
  </si>
  <si>
    <t>Удаление кондилом (до трех штук) (аппарат "Сургитрон")</t>
  </si>
  <si>
    <t>Удаление кондилом (более трех штук) (аппарат "Сургитрон")</t>
  </si>
  <si>
    <t>Массаж предстательной железы</t>
  </si>
  <si>
    <t>Осмотр предстательной железы</t>
  </si>
  <si>
    <t>Взятие мазков на ГН и флору, секрета простаты, ПЦР</t>
  </si>
  <si>
    <t>Смена эпицистостомы</t>
  </si>
  <si>
    <t>Электрокоагуляция полипов, кондилом</t>
  </si>
  <si>
    <t>Комлексная физиотерапия (аппарат "Андрогин")</t>
  </si>
  <si>
    <t xml:space="preserve">Выведение мочи катетером </t>
  </si>
  <si>
    <t>Инстилляция мочевого пузыря, уретры</t>
  </si>
  <si>
    <t>Исследование мочи на микроальбуминурию тест-полосками</t>
  </si>
  <si>
    <t>Исследование мазка на гонококки, трихомонады, кандидоз</t>
  </si>
  <si>
    <t>Исследование крови на волчаночные клетки</t>
  </si>
  <si>
    <t>Биохимическое исследование (билирубин)</t>
  </si>
  <si>
    <t>Биохимическое исследование (тимоловая проба)</t>
  </si>
  <si>
    <t>Биохимическое исследование (мочевина)</t>
  </si>
  <si>
    <t>Биохимическое исследование (креатинин)</t>
  </si>
  <si>
    <t>Биохимическое исследование (общий белок)</t>
  </si>
  <si>
    <t>Биохимическое исследование (ревматоидный фактор)</t>
  </si>
  <si>
    <t>Биохимическое исследование (амилаза)</t>
  </si>
  <si>
    <t>Биохимическое исследование (общий холестерин)</t>
  </si>
  <si>
    <t>Биохимическое исследование (триглицериды)</t>
  </si>
  <si>
    <t>Биохимическое исследование (кальций общий)</t>
  </si>
  <si>
    <t>Биохимическое исследование (калий)</t>
  </si>
  <si>
    <t>Биохимическое исследование (железо)</t>
  </si>
  <si>
    <t>Биохимическое исследование (магний)</t>
  </si>
  <si>
    <t>Биохимическое исследование (фосфор)</t>
  </si>
  <si>
    <t>Биохимическое исследование (мочевая кислота)</t>
  </si>
  <si>
    <t>Биохимическое исследование (глюкоза капиллярная)</t>
  </si>
  <si>
    <t>Биохимическое исследование (глюкоза венозная)</t>
  </si>
  <si>
    <t>Биохимическое исследование (фибриноген)</t>
  </si>
  <si>
    <t>Биохимическое исследование (гликированный гемоглобин)</t>
  </si>
  <si>
    <t>Биохимическое исследование (С-реактивный белок)</t>
  </si>
  <si>
    <t>Биохимическое исследование (ЛПВП-холестерин)</t>
  </si>
  <si>
    <t>Биохимическое исследование (гамма-глутамилтрансфераза)</t>
  </si>
  <si>
    <t>Биохимическое исследование (щелочная фосфатаза)</t>
  </si>
  <si>
    <t>Цитология женской половой сферы, молочных желез</t>
  </si>
  <si>
    <t>Определение базофильной зернистости эритроцитов</t>
  </si>
  <si>
    <t>Тест толерантности к глюкозе</t>
  </si>
  <si>
    <t>Исследование МНО (ПО и ПТИ) из венозной крови</t>
  </si>
  <si>
    <t>Распломбирование корневых каналов (1-го)</t>
  </si>
  <si>
    <t>Распломбирование корневых кананалов (2-х)</t>
  </si>
  <si>
    <t>Анестезия (проводниковая, инфильтрационная)</t>
  </si>
  <si>
    <t>Лечение пульпита с пломбировкой однокорневого зуба</t>
  </si>
  <si>
    <t>Лечение периодонтита с пломбировкой однокорневого зуба</t>
  </si>
  <si>
    <t>Лечение периодонтита с пломбировкой 2-х корневого зуба</t>
  </si>
  <si>
    <t>Лечение периодонтита с пломбировкой 3-х корневого зуба</t>
  </si>
  <si>
    <t>Лечение пульпита с пломбировкой 2-х корневого зуба (2 посещения)</t>
  </si>
  <si>
    <t>Лечение пульпита с пломбировкой 3-х корневого зуба (2 посещения)</t>
  </si>
  <si>
    <t>Лечение периодонтита с пломбировкой однокорневого зуба (2-3 посещения)</t>
  </si>
  <si>
    <t>Лечение периодонтита с пломбировкой 3-х корневого зуба (2-3 посещения)</t>
  </si>
  <si>
    <t>Лечение периодонтита с пломбировкой 2-х корневого зуба (2-3 посещения)</t>
  </si>
  <si>
    <t xml:space="preserve">Лечение неосложненного кариеса (пломба из светочувствительного материала) </t>
  </si>
  <si>
    <t>Распломбирование корневых кананалов (3-х)</t>
  </si>
  <si>
    <t>Скейлинг (2 челюсти), профилактическая чистка, обработка двух челюстей фторсодержащим гелем</t>
  </si>
  <si>
    <t>Профилактическое средствово при гиперчувствительности (1 зуб)</t>
  </si>
  <si>
    <t>Обследование функции слуховой трубы на аппарате "Импедансометр"  (импедансометрия)</t>
  </si>
  <si>
    <t>Исследование слизистой желудка на Нр, флору</t>
  </si>
  <si>
    <t>Лечение пульпита с пломбировкой однокорневого  зуба (2 посещения)</t>
  </si>
  <si>
    <t>350 пушк</t>
  </si>
  <si>
    <t>400 пушк</t>
  </si>
  <si>
    <t>1500 пушк</t>
  </si>
  <si>
    <t>1100 пушк</t>
  </si>
  <si>
    <t>500 пушк</t>
  </si>
  <si>
    <t>1000 пушк</t>
  </si>
  <si>
    <t>3000 пушк</t>
  </si>
  <si>
    <t>Посещение отоларинголога на дому</t>
  </si>
  <si>
    <t>Посещение офтальмолога на дому</t>
  </si>
  <si>
    <t>150-200</t>
  </si>
  <si>
    <t>Посещение хирурга на дому</t>
  </si>
  <si>
    <t>Прием отоларинголога</t>
  </si>
  <si>
    <t>Прием офтальмолога</t>
  </si>
  <si>
    <t>Удаление папилломы аппаратом "Сургитрон"</t>
  </si>
  <si>
    <t>Удаление пигментного невуса</t>
  </si>
  <si>
    <t>Электрокардиография с дополнительным отведением</t>
  </si>
  <si>
    <t>Электрокардиография с лекарственной пробой</t>
  </si>
  <si>
    <t>Электрокардиография с нагрузкой</t>
  </si>
  <si>
    <t>Функция внешнего дыхания (проба с бронхолитиками)</t>
  </si>
  <si>
    <t>Реэнцефалография с функциональными пробами</t>
  </si>
  <si>
    <t>Ультразвуковое исследование почек + надпочечники</t>
  </si>
  <si>
    <t>Ультразвуковое исследование молочных желез и лимфоузлов</t>
  </si>
  <si>
    <t>Ультразвуковое исследование лимфоузлов (одна группа)</t>
  </si>
  <si>
    <t>Ультразвуковое исследование печени, желчного пузыря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</si>
  <si>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</si>
  <si>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</si>
  <si>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суставов и окружающих мягких тканей</t>
  </si>
  <si>
    <t>Ультразвуковое исследование щитовидной железы с цветовым доплеровским картированием</t>
  </si>
  <si>
    <t>Ультразвуковое исследование яичек с цветовым доплеровским картированием</t>
  </si>
  <si>
    <t>Ультразвуковое исследование мочевого пузыря с определением остаточной мочи</t>
  </si>
  <si>
    <t>Ультразвуковая доплерография (УЗДГ) сосудов почек</t>
  </si>
  <si>
    <t>Ультразвуковая доплерография (УЗДГ) сосудов нижних конечностей (артерий) (с обязательным включением дополнительно к УЗДГ брюшного отдела аорты)</t>
  </si>
  <si>
    <t>Ультразвуковая доплерография (УЗДГ) сосудов нижних конечностей (вен)</t>
  </si>
  <si>
    <t>Ультразвуковая доплерография (УЗДГ) сосудов верхних конечностей (вен) (с обязательным включением НПВ и ее ветвей)</t>
  </si>
  <si>
    <t>Ультразвуковая доплерография (УЗДГ) сосудов верхних конечностей (артерий)</t>
  </si>
  <si>
    <t>Ультразвуковая доплерография (УЗДГ) брюшной аорты и ее ветвей</t>
  </si>
  <si>
    <t>Ультразвуковая доплерография (УЗДГ) брахиоцефальных сосудов</t>
  </si>
  <si>
    <t>Ультразвуковое исследование   плевральной полости, слюнных желез,  костной системы, гайморовой пазухи</t>
  </si>
  <si>
    <t>Пункция новообразований и суставов</t>
  </si>
  <si>
    <t>Блокада параартикулярная</t>
  </si>
  <si>
    <t>Удаление себорейной кератомы</t>
  </si>
  <si>
    <t>Вскрытие флегмоны</t>
  </si>
  <si>
    <t>Вскрытие абсцесса</t>
  </si>
  <si>
    <t>Вскрытие панариция</t>
  </si>
  <si>
    <t>Удаление точечной гемангиомы</t>
  </si>
  <si>
    <t>Профилактический осмотр работников, связанных со зрительно-напряженным трудом (прием офтальмолога)</t>
  </si>
  <si>
    <t>Стоматология</t>
  </si>
  <si>
    <t>Наложение пломбы при глубоком кариесе (лечебная прокладка)</t>
  </si>
  <si>
    <t xml:space="preserve">Проведение профилактических и медицинских осмотров </t>
  </si>
  <si>
    <t>Отоларингология</t>
  </si>
  <si>
    <t>Офтальмология</t>
  </si>
  <si>
    <t xml:space="preserve">Рентгенография органов грудной клетки (1 проекция) </t>
  </si>
  <si>
    <t>Рентгенография черепа (1 проекция)</t>
  </si>
  <si>
    <t>Рентгенография позвоночника (1 проекция)</t>
  </si>
  <si>
    <t>Рентген суставов (1 проекция)</t>
  </si>
  <si>
    <t>Косая проекция шейного отдела (1 проекция)</t>
  </si>
  <si>
    <t>Реовазография верхних или нижних конечностей</t>
  </si>
  <si>
    <t>Реовазография верхних или нижних конечностей с функциональными пробами</t>
  </si>
  <si>
    <t>Эхокардиография с цветным доплеровским картированием (узи с Доплером)</t>
  </si>
  <si>
    <t>Консультация доктора медицинских наук, профессора</t>
  </si>
  <si>
    <t>Рефлексотерапия корпоральная и/или прогревание, и/или постановка банок (1 сеанс)</t>
  </si>
  <si>
    <t>Предоставление одного комплекса лечебной гимнастики на диске</t>
  </si>
  <si>
    <t>Пневмолимфодренаж (1 конечность или область)</t>
  </si>
  <si>
    <t>Глубокая осцилляция (Хивамат) (1 процедура)</t>
  </si>
  <si>
    <t>%</t>
  </si>
  <si>
    <t>ПЕРЕЧЕНЬ</t>
  </si>
  <si>
    <t>Амортизация оборудования</t>
  </si>
  <si>
    <t>балансовая стоимость</t>
  </si>
  <si>
    <t>Сумма амортизации на услугу</t>
  </si>
  <si>
    <t>Начисления на з/плату (30,2%) (руб.)</t>
  </si>
  <si>
    <t>Общщее время работы оборудования до износа (мин.)</t>
  </si>
  <si>
    <t>Постановка внутривенной инфузионной системы</t>
  </si>
  <si>
    <t xml:space="preserve">Антропометрия </t>
  </si>
  <si>
    <t xml:space="preserve">Проба виброчувствительности (вибротест) </t>
  </si>
  <si>
    <t xml:space="preserve">Велоэргометрия с расшифровкой результата </t>
  </si>
  <si>
    <t>Лечение на аппарате "Яровит"</t>
  </si>
  <si>
    <t>Урофлоуметрия</t>
  </si>
  <si>
    <t>Ультразвуковое исследование паращитовидных желез</t>
  </si>
  <si>
    <t>Ультразвуковое исследование мягких тканей</t>
  </si>
  <si>
    <t>Авторефрактометрия</t>
  </si>
  <si>
    <t>Пневмотонометрия</t>
  </si>
  <si>
    <t xml:space="preserve">Динамометрия </t>
  </si>
  <si>
    <t xml:space="preserve">Холодовая проба </t>
  </si>
  <si>
    <t xml:space="preserve">Определение вибрационной чувствительности с помощью камертона </t>
  </si>
  <si>
    <t>Оформление санаторно-курортной карты</t>
  </si>
  <si>
    <t>Направление на курс реабилитации, физиолечения, дневной стационар</t>
  </si>
  <si>
    <t>Анализ мочи по Зимницкому</t>
  </si>
  <si>
    <t>Анализ мочи по Нечипоренко</t>
  </si>
  <si>
    <t>Биохимическое исследование (АЛТ)</t>
  </si>
  <si>
    <t>Биохимическое исследование (АСТ)</t>
  </si>
  <si>
    <t>АПТВ-тест</t>
  </si>
  <si>
    <t>Окраска на тельца Гейнца</t>
  </si>
  <si>
    <t>действующ цена 2011</t>
  </si>
  <si>
    <t>действующ цена 2013</t>
  </si>
  <si>
    <t xml:space="preserve">Электрофорез внутриполостной (1 поле) </t>
  </si>
  <si>
    <t>желаемая цена 2013</t>
  </si>
  <si>
    <t>Вскрытие атеромы</t>
  </si>
  <si>
    <t>Удаление вросшего ногтя (удаление ногтевой пластины)</t>
  </si>
  <si>
    <t>Проба на лидокаин</t>
  </si>
  <si>
    <t>Вскрытие фурункула</t>
  </si>
  <si>
    <t>желаемая цена на пушкина 2013</t>
  </si>
  <si>
    <t>Соскоб на демодекс</t>
  </si>
  <si>
    <t>Оценка уровня гликемии</t>
  </si>
  <si>
    <t xml:space="preserve">Обучение технике самоконтроля на глюкометре </t>
  </si>
  <si>
    <t xml:space="preserve">Обучение использования шприц-ручки </t>
  </si>
  <si>
    <r>
      <t xml:space="preserve">Медицинское обслуживание домов и баз отдыха, съездов, совещаний и конференций, зрелищных мероприятий, спортивных соревнований в </t>
    </r>
    <r>
      <rPr>
        <b/>
        <sz val="12"/>
        <rFont val="Arial Cyr"/>
        <family val="0"/>
      </rPr>
      <t xml:space="preserve">рабочий день (1 час) </t>
    </r>
  </si>
  <si>
    <r>
      <t xml:space="preserve">Медицинское обслуживание домов и баз отдыха, съездов, совещаний и конференций, зрелищных мероприятий, спортивных соревнований в </t>
    </r>
    <r>
      <rPr>
        <b/>
        <sz val="12"/>
        <rFont val="Arial Cyr"/>
        <family val="0"/>
      </rPr>
      <t xml:space="preserve">выходной и праздничный день (1 час) </t>
    </r>
  </si>
  <si>
    <t xml:space="preserve">Кардиоваскулярные пробы </t>
  </si>
  <si>
    <t>Школа коррекции веса (1 занятие)</t>
  </si>
  <si>
    <t>Гормональная коррекция, лечение бесплодия</t>
  </si>
  <si>
    <t>Реклинация блоков позвоночника аппаратная динамическая (БЭК ЛАЙФ) (1 занятие) врач</t>
  </si>
  <si>
    <t>Реклинация блоков позвоночника аппаратная динамическая (БЭК ЛАЙФ) (1 занятие) инструктор ЛФК</t>
  </si>
  <si>
    <t xml:space="preserve">Биоимпедансметрия: проведение измерений (Ин боди) (1 исследование) </t>
  </si>
  <si>
    <t>Биоимпедансметрия: анализ физического уровня и рисков, индивидуальная двигательная программа, протокол (1 прием)</t>
  </si>
  <si>
    <t>Тракция аппаратная "сухая" (1 сеанс) ТРАКТАЙЗЕР (Япония)</t>
  </si>
  <si>
    <t>Магнитостимуляция нерва, лабильная методика (1конечность)</t>
  </si>
  <si>
    <t xml:space="preserve">Магнитостимуляция нерва, лабильная методика (2 конечности) </t>
  </si>
  <si>
    <t>Многоканальная электростимуляция 1 конечность</t>
  </si>
  <si>
    <t>Многоканальная электростимуляция 2 конечности</t>
  </si>
  <si>
    <t>Электротерапия низко-среднечастотная импульсная (2 и более полей)</t>
  </si>
  <si>
    <t>Механотерапия лечебная (1 занятие) инструктор</t>
  </si>
  <si>
    <t>Механотерапия тренирующая (1-1,5 фитнес) (1 сеанс) индивидуальный инструктор</t>
  </si>
  <si>
    <t>Цифровое исследование двигательной функции отдела опорно-двигательного аппарата (анализ, протокол)</t>
  </si>
  <si>
    <t>Лечебная гимнастика групповая, проводимая врачом (1 занятие)</t>
  </si>
  <si>
    <t>Массаж ручной голеностопного сустава (1 сеанс)</t>
  </si>
  <si>
    <t>Массаж ручной предплечья и кисти (1 сеанс)</t>
  </si>
  <si>
    <t>Массаж ручной тазобедренного сустава (1 сеанс)</t>
  </si>
  <si>
    <t>Массаж ручной коленного сустава (1 сеанс)</t>
  </si>
  <si>
    <t xml:space="preserve">Врачебно-педагогический контроль (врачебно-педагогическое наблюдение (1 занятие - 45 минут)) </t>
  </si>
  <si>
    <t xml:space="preserve">Врачебно-педагогический контроль на дому (врачебно-педагогическое наблюдение (1 занятие - 60 минут)) </t>
  </si>
  <si>
    <t xml:space="preserve">Пункция сустава лечебная (1 сустав) </t>
  </si>
  <si>
    <t>Прочие услуги</t>
  </si>
  <si>
    <t>Скейлинг (1 челюсти), профилактическая чистка, обработка 1 челюсти фторсодержащим гелем</t>
  </si>
  <si>
    <t>Скейлинг (1 зуба), профилактическая чистка, обработка 1 зуба фторсодержащим гелем</t>
  </si>
  <si>
    <t>Накладные расходы (102%) (руб.)</t>
  </si>
  <si>
    <r>
      <t xml:space="preserve">Прием специалиста при </t>
    </r>
    <r>
      <rPr>
        <b/>
        <sz val="12"/>
        <rFont val="Arial Cyr"/>
        <family val="0"/>
      </rPr>
      <t>профилактическом осмотре</t>
    </r>
    <r>
      <rPr>
        <sz val="12"/>
        <rFont val="Arial Cyr"/>
        <family val="0"/>
      </rPr>
      <t xml:space="preserve"> (терапевт, дерматолог, кардиолог, эндокринолог, психотерапевт, невролог, травматолог-ортопед, уролог, хирург, гинеколог, отоларинголог, офтальмолог, врач по спортивной медицине, стоматолог)</t>
    </r>
  </si>
  <si>
    <r>
      <t xml:space="preserve">Прием специалиста при </t>
    </r>
    <r>
      <rPr>
        <b/>
        <sz val="12"/>
        <rFont val="Arial Cyr"/>
        <family val="0"/>
      </rPr>
      <t>медицинском осмотре</t>
    </r>
    <r>
      <rPr>
        <sz val="12"/>
        <rFont val="Arial Cyr"/>
        <family val="0"/>
      </rPr>
      <t xml:space="preserve"> (терапевт, дерматолог, кардиолог, эндокринолог, психотерапевт, невролог, травматолог-ортопед, уролог, хирург, гинеколог,отоларинголог, офтальмолог, врач по спортивной медицине, стоматолог)</t>
    </r>
  </si>
  <si>
    <t>Удаление инородного тела из мягких тканей</t>
  </si>
  <si>
    <t>Исследовние кала на яйцеглист</t>
  </si>
  <si>
    <t>Исследование мазка из зева/носа на стафилококк</t>
  </si>
  <si>
    <t>Исследование кала на брюшной тиф</t>
  </si>
  <si>
    <t>Исследование кала на кишечную инфекцию</t>
  </si>
  <si>
    <t>Исследование крови на ВИЧ</t>
  </si>
  <si>
    <t>Исследование соскоба со слизистой носа на эозинофилы</t>
  </si>
  <si>
    <t>Исследование крови на гепатит В</t>
  </si>
  <si>
    <t>Исследование крови на гепатит С</t>
  </si>
  <si>
    <t>Взятие носового секрета на цитологию (эозинофилы)</t>
  </si>
  <si>
    <t>Соскоб (ухо, зев, нос)</t>
  </si>
  <si>
    <t>Исследование соскоба с языка, носа, уха, уретры</t>
  </si>
  <si>
    <t xml:space="preserve">Ультразвуковое исследование молочных желез </t>
  </si>
  <si>
    <t>Бактериологическое исследование на флору и чувствительность к антибиотикам (цервикальный канал, ухо, зев, нос)</t>
  </si>
  <si>
    <t>Забор материала на бак исследование (цервикальный канал, ухо, зев, нос)</t>
  </si>
  <si>
    <t>Подсчет ретикулоцитов</t>
  </si>
  <si>
    <t xml:space="preserve">Блокада паравертебральная (1 область) </t>
  </si>
  <si>
    <t xml:space="preserve">Школа коррекции веса (10 занятий) </t>
  </si>
  <si>
    <t xml:space="preserve">Вариабельность ритма сердца </t>
  </si>
  <si>
    <t xml:space="preserve">Компьютерная диагностика функционального здоровья </t>
  </si>
  <si>
    <t>Прием невролога специализированного отделения</t>
  </si>
  <si>
    <t>Прием специалистов специализированного отделения</t>
  </si>
  <si>
    <t>№ п/п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</si>
  <si>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</si>
  <si>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</si>
  <si>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</si>
  <si>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</si>
  <si>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</si>
  <si>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</si>
  <si>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</si>
  <si>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</si>
  <si>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</si>
  <si>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</si>
  <si>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</si>
  <si>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</si>
  <si>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</si>
  <si>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</si>
  <si>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</si>
  <si>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</si>
  <si>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</si>
  <si>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</si>
  <si>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</si>
  <si>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</si>
  <si>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</si>
  <si>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</si>
  <si>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</si>
  <si>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</si>
  <si>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</si>
  <si>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</si>
  <si>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</si>
  <si>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</si>
  <si>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</si>
  <si>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</si>
  <si>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</si>
  <si>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</si>
  <si>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</si>
  <si>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</si>
  <si>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</si>
  <si>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</si>
  <si>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</si>
  <si>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</si>
  <si>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</si>
  <si>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</si>
  <si>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</si>
  <si>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</si>
  <si>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</si>
  <si>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</si>
  <si>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</si>
  <si>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</si>
  <si>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</si>
  <si>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</si>
  <si>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</si>
  <si>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</si>
  <si>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</si>
  <si>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</si>
  <si>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</si>
  <si>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</si>
  <si>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</si>
  <si>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</si>
  <si>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</si>
  <si>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</si>
  <si>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</si>
  <si>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</si>
  <si>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</si>
  <si>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</si>
  <si>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</si>
  <si>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</si>
  <si>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</si>
  <si>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</si>
  <si>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</si>
  <si>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</si>
  <si>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</si>
  <si>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</si>
  <si>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</si>
  <si>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</si>
  <si>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</si>
  <si>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</si>
  <si>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</si>
  <si>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</si>
  <si>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</si>
  <si>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</si>
  <si>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</si>
  <si>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</si>
  <si>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</si>
  <si>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</si>
  <si>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</si>
  <si>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</si>
  <si>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</si>
  <si>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</si>
  <si>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</si>
  <si>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</si>
  <si>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</si>
  <si>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</si>
  <si>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</si>
  <si>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</si>
  <si>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</si>
  <si>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</si>
  <si>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</si>
  <si>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</si>
  <si>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</si>
  <si>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</si>
  <si>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</si>
  <si>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</si>
  <si>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</si>
  <si>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</si>
  <si>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</si>
  <si>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</si>
  <si>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</si>
  <si>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</si>
  <si>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</si>
  <si>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</si>
  <si>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</si>
  <si>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</si>
  <si>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</si>
  <si>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</si>
  <si>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</si>
  <si>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</si>
  <si>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</si>
  <si>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</si>
  <si>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</si>
  <si>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</si>
  <si>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</si>
  <si>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</si>
  <si>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</si>
  <si>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</si>
  <si>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</si>
  <si>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</si>
  <si>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</si>
  <si>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</si>
  <si>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</si>
  <si>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</si>
  <si>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</si>
  <si>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</si>
  <si>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</si>
  <si>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</si>
  <si>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</si>
  <si>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</si>
  <si>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</si>
  <si>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</si>
  <si>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</si>
  <si>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</si>
  <si>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</si>
  <si>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</si>
  <si>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</si>
  <si>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</si>
  <si>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</si>
  <si>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</si>
  <si>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</si>
  <si>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</si>
  <si>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</si>
  <si>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</si>
  <si>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</si>
  <si>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</si>
  <si>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</si>
  <si>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</si>
  <si>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</si>
  <si>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</si>
  <si>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</si>
  <si>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</si>
  <si>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</si>
  <si>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</si>
  <si>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</si>
  <si>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</si>
  <si>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</si>
  <si>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</si>
  <si>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</si>
  <si>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</si>
  <si>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</si>
  <si>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</si>
  <si>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</si>
  <si>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</si>
  <si>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</si>
  <si>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</si>
  <si>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</si>
  <si>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</si>
  <si>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</si>
  <si>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</si>
  <si>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</si>
  <si>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</si>
  <si>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</si>
  <si>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</si>
  <si>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</si>
  <si>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</si>
  <si>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</si>
  <si>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</si>
  <si>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</si>
  <si>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</si>
  <si>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</si>
  <si>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</si>
  <si>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</si>
  <si>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</si>
  <si>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</si>
  <si>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</si>
  <si>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</si>
  <si>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</si>
  <si>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</si>
  <si>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</si>
  <si>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</si>
  <si>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</si>
  <si>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</si>
  <si>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</si>
  <si>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</si>
  <si>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</si>
  <si>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</si>
  <si>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</si>
  <si>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</si>
  <si>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</si>
  <si>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</si>
  <si>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</si>
  <si>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</si>
  <si>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</si>
  <si>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</si>
  <si>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</si>
  <si>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</si>
  <si>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</si>
  <si>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</si>
  <si>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</si>
  <si>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</si>
  <si>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</si>
  <si>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</si>
  <si>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</si>
  <si>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</si>
  <si>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</si>
  <si>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</si>
  <si>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</si>
  <si>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</si>
  <si>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</si>
  <si>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</si>
  <si>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</si>
  <si>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</si>
  <si>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</si>
  <si>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</si>
  <si>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</si>
  <si>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</si>
  <si>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</si>
  <si>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</si>
  <si>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</si>
  <si>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</si>
  <si>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</si>
  <si>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</si>
  <si>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</si>
  <si>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</si>
  <si>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</si>
  <si>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</si>
  <si>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</si>
  <si>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</si>
  <si>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</si>
  <si>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</si>
  <si>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</si>
  <si>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</si>
  <si>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</si>
  <si>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</si>
  <si>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</si>
  <si>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</si>
  <si>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</si>
  <si>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</si>
  <si>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</si>
  <si>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</si>
  <si>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</si>
  <si>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</si>
  <si>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</si>
  <si>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</si>
  <si>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</si>
  <si>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</si>
  <si>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</si>
  <si>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</si>
  <si>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</si>
  <si>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</si>
  <si>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</si>
  <si>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</si>
  <si>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</si>
  <si>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</si>
  <si>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</si>
  <si>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</si>
  <si>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</si>
  <si>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</si>
  <si>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</si>
  <si>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</si>
  <si>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</si>
  <si>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</si>
  <si>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</si>
  <si>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</si>
  <si>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</si>
  <si>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</si>
  <si>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</si>
  <si>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</si>
  <si>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</si>
  <si>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</si>
  <si>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</si>
  <si>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</si>
  <si>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</si>
  <si>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</si>
  <si>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</si>
  <si>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</si>
  <si>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</si>
  <si>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</si>
  <si>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</si>
  <si>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</si>
  <si>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</si>
  <si>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</si>
  <si>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</si>
  <si>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</si>
  <si>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</si>
  <si>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</si>
  <si>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</si>
  <si>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</si>
  <si>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</si>
  <si>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</si>
  <si>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</si>
  <si>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</si>
  <si>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</si>
  <si>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</si>
  <si>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</si>
  <si>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</si>
  <si>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</si>
  <si>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</si>
  <si>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</si>
  <si>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</si>
  <si>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</si>
  <si>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</si>
  <si>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</si>
  <si>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</si>
  <si>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</si>
  <si>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</si>
  <si>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</si>
  <si>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</si>
  <si>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</si>
  <si>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</si>
  <si>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</si>
  <si>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</si>
  <si>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</si>
  <si>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</si>
  <si>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</si>
  <si>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</si>
  <si>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</si>
  <si>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</si>
  <si>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</si>
  <si>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</si>
  <si>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</si>
  <si>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</si>
  <si>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</si>
  <si>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</si>
  <si>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</si>
  <si>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</si>
  <si>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</si>
  <si>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</si>
  <si>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</si>
  <si>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</si>
  <si>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</si>
  <si>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</si>
  <si>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</si>
  <si>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</si>
  <si>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</si>
  <si>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</si>
  <si>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</si>
  <si>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</si>
  <si>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</si>
  <si>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</si>
  <si>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</si>
  <si>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</si>
  <si>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</si>
  <si>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</si>
  <si>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</si>
  <si>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</si>
  <si>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</si>
  <si>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</si>
  <si>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</si>
  <si>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</si>
  <si>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</si>
  <si>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</si>
  <si>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</si>
  <si>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</si>
  <si>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</si>
  <si>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</si>
  <si>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</si>
  <si>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</si>
  <si>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</si>
  <si>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</si>
  <si>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</si>
  <si>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</si>
  <si>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</si>
  <si>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</si>
  <si>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</si>
  <si>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</si>
  <si>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</si>
  <si>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</si>
  <si>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</si>
  <si>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</si>
  <si>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</si>
  <si>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</si>
  <si>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</si>
  <si>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</si>
  <si>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</si>
  <si>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</si>
  <si>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</si>
  <si>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</si>
  <si>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</si>
  <si>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</si>
  <si>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Обработка слизистой зева</t>
  </si>
  <si>
    <t>Обработка раневой поверхности</t>
  </si>
  <si>
    <t>Взятие материала на демодекоз</t>
  </si>
  <si>
    <t xml:space="preserve">Зам. главного врача по экономическим вопросам                             В.А. Портной        </t>
  </si>
  <si>
    <t>цены с 01.04.14</t>
  </si>
  <si>
    <t>% роста</t>
  </si>
  <si>
    <t>Материалы (руб.) как число</t>
  </si>
  <si>
    <t>Биохимическое исследование (креатинкиназа)</t>
  </si>
  <si>
    <t>Биохимическое исследование (креатинкиназа МБ)</t>
  </si>
  <si>
    <t>Биохимическое исследование (лактатдегидрогеназа)</t>
  </si>
  <si>
    <t>Биохимическое исследование (липаза)</t>
  </si>
  <si>
    <t>Биохимическое исследование (альбумин)</t>
  </si>
  <si>
    <t>Биохимическое исследование (лактат)</t>
  </si>
  <si>
    <t>Биохимическое исследование (ненасыщенная железосвязывающая способность)</t>
  </si>
  <si>
    <t>Биохимическое исследование (иммуноглобулин А)</t>
  </si>
  <si>
    <t>Биохимическое исследование (иммуноглобулин G)</t>
  </si>
  <si>
    <t>Биохимическое исследование (иммуноглобулин E)</t>
  </si>
  <si>
    <t xml:space="preserve">Ультразвуковое исследование органов малого таза трансвагинальное (матка+яичники) </t>
  </si>
  <si>
    <t xml:space="preserve">Ультразвуковое исследование органов малого таза абдоминальное (матка+яичники) </t>
  </si>
  <si>
    <t>Ультразвуковое исследование предстательной железы, мочевого пузыря + остаточная моча абдоминальное</t>
  </si>
  <si>
    <t>Ультразвуковое исследование предстательной железы трансректальное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</si>
  <si>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</si>
  <si>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</si>
  <si>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</si>
  <si>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</si>
  <si>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</si>
  <si>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</si>
  <si>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</si>
  <si>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</si>
  <si>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</si>
  <si>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</si>
  <si>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</si>
  <si>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</si>
  <si>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</si>
  <si>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</si>
  <si>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</si>
  <si>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</si>
  <si>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</si>
  <si>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</si>
  <si>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</si>
  <si>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</si>
  <si>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</si>
  <si>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Биохимическое исследование (иммуноглобулин М)</t>
  </si>
  <si>
    <t xml:space="preserve">Определение уровня антител к тиреопероксидазе(АТ-ТПО) </t>
  </si>
  <si>
    <t>Определение уровня антител к тиреоглобулину (АТ-ТГ)</t>
  </si>
  <si>
    <t>Определение уровня антител к тиреотропному гормону (АТ-ТТГ)</t>
  </si>
  <si>
    <t>Определение уровня С-пептида (маркер сахарного диабета)</t>
  </si>
  <si>
    <t>Гормональное исследование Т4 свободного (тироксин)</t>
  </si>
  <si>
    <t>Определение уровня онкомаркера СА-125</t>
  </si>
  <si>
    <t>Определение уровня онкомаркера СА-15-3</t>
  </si>
  <si>
    <t>Определение уровня онкомаркера СА-19-9</t>
  </si>
  <si>
    <t>Определение уровня онкомаркера ПСА общий (простатический специфический антиген)</t>
  </si>
  <si>
    <t>Определение уровня онкомаркера ПСА свободный (простатический специфический антиген)</t>
  </si>
  <si>
    <t>Гормональное исследование ТТГ (териотропный гормон)</t>
  </si>
  <si>
    <t>Гормональное исследование СТГ (соматотропный гомон)</t>
  </si>
  <si>
    <t>Гормональное исследование Т4 общего (тироксин)</t>
  </si>
  <si>
    <t>Гормональное исследование Т3 общего (трийодтиронин)</t>
  </si>
  <si>
    <t>Гормональное исследование ТГ (тиреоглобулин)</t>
  </si>
  <si>
    <t>Гормональное исследование ЛГ (лютеинизирующий гормон)</t>
  </si>
  <si>
    <t>Гормональное исследование ФГ (фолликулостимулирующий гормон)</t>
  </si>
  <si>
    <t>Гормональное исследование ДГТС (дегидротестостерон)</t>
  </si>
  <si>
    <t>Гормональное исследование АКТГ (адренокортикотропный гормон)</t>
  </si>
  <si>
    <t>Гормональное исследование Т3 свободного (трийодтиронин)</t>
  </si>
  <si>
    <t>Гормональное исследование тестостерон</t>
  </si>
  <si>
    <t>Гормональное исследование прогестерон</t>
  </si>
  <si>
    <t>Гормональное исследование 17-ОН-прогестерон</t>
  </si>
  <si>
    <t>Гормональное исследование эстрадиол</t>
  </si>
  <si>
    <t>Гормональное исследование пролактин</t>
  </si>
  <si>
    <t>Гормональное исследование инсулин</t>
  </si>
  <si>
    <t>Гормональное исследование кортизол</t>
  </si>
  <si>
    <t>Гормональное исследование адреналин в моче и плазме</t>
  </si>
  <si>
    <t>Определение уровня онкомаркера ферритин</t>
  </si>
  <si>
    <t>Гормональное исследование ДГЭАС (дегидроэпиандростерона сульфат)</t>
  </si>
  <si>
    <t>Биохимическое исследование (ЛПНП-холестерин)</t>
  </si>
  <si>
    <t>Исследование ТВ (тромбиновое время)</t>
  </si>
  <si>
    <t>361</t>
  </si>
  <si>
    <t>362</t>
  </si>
  <si>
    <t>363</t>
  </si>
  <si>
    <t>364</t>
  </si>
  <si>
    <t>365</t>
  </si>
  <si>
    <t>366</t>
  </si>
  <si>
    <t>367</t>
  </si>
  <si>
    <t>368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</si>
  <si>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</si>
  <si>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</si>
  <si>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</si>
  <si>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</si>
  <si>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</si>
  <si>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</si>
  <si>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</si>
  <si>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</si>
  <si>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</si>
  <si>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</si>
  <si>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</si>
  <si>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</si>
  <si>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</si>
  <si>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</si>
  <si>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</si>
  <si>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</si>
  <si>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</si>
  <si>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</si>
  <si>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</si>
  <si>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</si>
  <si>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</si>
  <si>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</si>
  <si>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</si>
  <si>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</si>
  <si>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r>
      <rPr>
        <b/>
        <sz val="14"/>
        <rFont val="Arial Cyr"/>
        <family val="0"/>
      </rPr>
      <t xml:space="preserve">УТВЕРЖДАЮ       </t>
    </r>
    <r>
      <rPr>
        <sz val="14"/>
        <rFont val="Arial Cyr"/>
        <family val="0"/>
      </rPr>
      <t xml:space="preserve">                                                                                                                                                                    И.о.главного врача                                                                                                                                                                                                                                                                  КГБУЗ "Клинический центр восстановительной                                                                                                                                                                медицины и реабилитации"                                                                                                                                                                                                        __________________Е.М. Рязанова                                                                                                                                                                     "_______" _________________2015 г.</t>
    </r>
  </si>
  <si>
    <r>
      <t xml:space="preserve">                                                                                                                                                                                                                  платных услуг и тарифов, оказываемых в КГБУЗ "Клинический центр восстановительной медицины и реабилитации" сверх объемов гарантированной бесплатной медицинской помощи и медицинских стандартов</t>
    </r>
    <r>
      <rPr>
        <sz val="14"/>
        <rFont val="Arial Cyr"/>
        <family val="0"/>
      </rPr>
      <t xml:space="preserve"> вступает в силу с </t>
    </r>
    <r>
      <rPr>
        <u val="single"/>
        <sz val="14"/>
        <rFont val="Arial Cyr"/>
        <family val="0"/>
      </rPr>
      <t>01.09.2015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</si>
</sst>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"/>
    <numFmt numFmtId="167" formatCode="0.000"/>
    <numFmt numFmtId="168" formatCode="_-* #,##0.0_р_._-;\-* #,##0.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.0%"/>
  </numFmts>
  <fonts count="51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4"/>
      <name val="Arial Cyr"/>
      <family val="0"/>
    </font>
    <font>
      <b/>
      <sz val="15"/>
      <name val="Arial Cyr"/>
      <family val="0"/>
    </font>
    <font>
      <sz val="14"/>
      <name val="Arial Cyr"/>
      <family val="0"/>
    </font>
    <font>
      <sz val="8"/>
      <name val="Arial"/>
      <family val="2"/>
    </font>
    <font>
      <i/>
      <sz val="12"/>
      <name val="Arial Cyr"/>
      <family val="0"/>
    </font>
    <font>
      <u val="single"/>
      <sz val="14"/>
      <name val="Arial Cyr"/>
      <family val="0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5"/>
      <name val="Arial Cyr"/>
      <family val="0"/>
    </font>
    <font>
      <sz val="12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 tint="-0.3499799966812134"/>
      <name val="Arial Cyr"/>
      <family val="0"/>
    </font>
    <font>
      <sz val="12"/>
      <color theme="0" tint="-0.349979996681213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textRotation="90" wrapText="1"/>
    </xf>
    <xf numFmtId="2" fontId="4" fillId="0" borderId="13" xfId="0" applyNumberFormat="1" applyFont="1" applyFill="1" applyBorder="1" applyAlignment="1">
      <alignment horizontal="center" vertical="center" textRotation="90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2" fontId="4" fillId="0" borderId="15" xfId="0" applyNumberFormat="1" applyFont="1" applyFill="1" applyBorder="1" applyAlignment="1">
      <alignment horizontal="justify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9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8" xfId="0" applyFont="1" applyFill="1" applyBorder="1" applyAlignment="1">
      <alignment horizontal="justify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textRotation="90" wrapText="1"/>
    </xf>
    <xf numFmtId="4" fontId="4" fillId="0" borderId="16" xfId="0" applyNumberFormat="1" applyFont="1" applyFill="1" applyBorder="1" applyAlignment="1">
      <alignment horizontal="center" vertical="center" textRotation="90" wrapText="1"/>
    </xf>
    <xf numFmtId="4" fontId="50" fillId="0" borderId="13" xfId="0" applyNumberFormat="1" applyFont="1" applyFill="1" applyBorder="1" applyAlignment="1">
      <alignment horizontal="center" vertical="center" textRotation="90" wrapText="1"/>
    </xf>
    <xf numFmtId="4" fontId="50" fillId="0" borderId="16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86;&#1089;&#1085;&#1086;&#1074;&#1085;&#1099;&#1077;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54;&#1057;%20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uba\LOCALS~1\Temp\&#1054;&#1057;%20&#10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7;&#1081;&#1089;&#1082;&#1091;&#1088;&#1072;&#1085;&#1090;2013\&#1058;&#1040;&#1056;&#1048;&#1060;&#1048;&#1050;&#1040;&#1062;&#1048;&#1071;2013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%20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дания"/>
      <sheetName val="мед. оборудование"/>
      <sheetName val="прочие"/>
    </sheetNames>
    <sheetDataSet>
      <sheetData sheetId="1">
        <row r="9">
          <cell r="H9">
            <v>10868.25</v>
          </cell>
        </row>
        <row r="307">
          <cell r="H307">
            <v>24400</v>
          </cell>
        </row>
        <row r="584">
          <cell r="H584">
            <v>264100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3">
          <cell r="O53">
            <v>76983</v>
          </cell>
        </row>
        <row r="64">
          <cell r="O64">
            <v>91000</v>
          </cell>
        </row>
        <row r="97">
          <cell r="O97">
            <v>78500</v>
          </cell>
        </row>
        <row r="114">
          <cell r="O114">
            <v>73070.32</v>
          </cell>
        </row>
        <row r="179">
          <cell r="O179">
            <v>68500</v>
          </cell>
        </row>
        <row r="405">
          <cell r="O405">
            <v>38500</v>
          </cell>
        </row>
        <row r="406">
          <cell r="O406">
            <v>17000</v>
          </cell>
        </row>
        <row r="409">
          <cell r="O409">
            <v>43000</v>
          </cell>
        </row>
        <row r="434">
          <cell r="O434">
            <v>32500</v>
          </cell>
        </row>
        <row r="436">
          <cell r="O436">
            <v>4680</v>
          </cell>
        </row>
        <row r="481">
          <cell r="O481">
            <v>7210</v>
          </cell>
        </row>
        <row r="503">
          <cell r="O503">
            <v>12360</v>
          </cell>
        </row>
        <row r="514">
          <cell r="O514">
            <v>8800</v>
          </cell>
        </row>
        <row r="579">
          <cell r="O579">
            <v>14950</v>
          </cell>
        </row>
        <row r="580">
          <cell r="O580">
            <v>5000</v>
          </cell>
        </row>
        <row r="625">
          <cell r="O625">
            <v>5000</v>
          </cell>
        </row>
        <row r="629">
          <cell r="O629">
            <v>11000</v>
          </cell>
        </row>
        <row r="630">
          <cell r="O630">
            <v>850715</v>
          </cell>
        </row>
        <row r="979">
          <cell r="O979">
            <v>12205.5</v>
          </cell>
        </row>
        <row r="981">
          <cell r="O981">
            <v>16761</v>
          </cell>
        </row>
        <row r="983">
          <cell r="O983">
            <v>17500</v>
          </cell>
        </row>
        <row r="1000">
          <cell r="O1000">
            <v>13000</v>
          </cell>
        </row>
        <row r="1004">
          <cell r="O1004">
            <v>18500</v>
          </cell>
        </row>
        <row r="1005">
          <cell r="O1005">
            <v>18500</v>
          </cell>
        </row>
        <row r="1029">
          <cell r="O1029">
            <v>46350</v>
          </cell>
        </row>
        <row r="1053">
          <cell r="O1053">
            <v>18000</v>
          </cell>
        </row>
        <row r="2244">
          <cell r="O2244">
            <v>2000070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0">
          <cell r="O50">
            <v>52000</v>
          </cell>
        </row>
        <row r="122">
          <cell r="O122">
            <v>547046.82</v>
          </cell>
        </row>
        <row r="933">
          <cell r="O933">
            <v>23581.12</v>
          </cell>
        </row>
        <row r="1843">
          <cell r="O1843">
            <v>35603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ОВИК"/>
    </sheetNames>
    <sheetDataSet>
      <sheetData sheetId="0">
        <row r="48">
          <cell r="R48">
            <v>397648</v>
          </cell>
        </row>
        <row r="49">
          <cell r="R49">
            <v>348040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1">
          <cell r="O561">
            <v>35850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7"/>
  <sheetViews>
    <sheetView tabSelected="1" view="pageBreakPreview" zoomScale="80" zoomScaleNormal="85" zoomScaleSheetLayoutView="80" workbookViewId="0" topLeftCell="A466">
      <selection activeCell="B482" sqref="B482"/>
    </sheetView>
  </sheetViews>
  <sheetFormatPr defaultColWidth="9.125" defaultRowHeight="12.75"/>
  <cols>
    <col min="1" max="1" width="7.00390625" style="44" customWidth="1"/>
    <col min="2" max="2" width="73.125" style="10" customWidth="1"/>
    <col min="3" max="3" width="11.50390625" style="11" hidden="1" customWidth="1"/>
    <col min="4" max="4" width="8.50390625" style="11" hidden="1" customWidth="1"/>
    <col min="5" max="5" width="12.50390625" style="11" hidden="1" customWidth="1"/>
    <col min="6" max="6" width="12.00390625" style="12" hidden="1" customWidth="1"/>
    <col min="7" max="7" width="15.125" style="17" hidden="1" customWidth="1"/>
    <col min="8" max="8" width="7.375" style="11" hidden="1" customWidth="1"/>
    <col min="9" max="9" width="9.375" style="11" hidden="1" customWidth="1"/>
    <col min="10" max="10" width="10.50390625" style="12" hidden="1" customWidth="1"/>
    <col min="11" max="11" width="14.50390625" style="11" hidden="1" customWidth="1"/>
    <col min="12" max="12" width="16.125" style="11" hidden="1" customWidth="1"/>
    <col min="13" max="13" width="5.50390625" style="11" hidden="1" customWidth="1"/>
    <col min="14" max="14" width="11.375" style="12" hidden="1" customWidth="1"/>
    <col min="15" max="15" width="12.00390625" style="12" hidden="1" customWidth="1"/>
    <col min="16" max="16" width="11.50390625" style="12" hidden="1" customWidth="1"/>
    <col min="17" max="17" width="9.875" style="12" hidden="1" customWidth="1"/>
    <col min="18" max="18" width="10.50390625" style="83" hidden="1" customWidth="1"/>
    <col min="19" max="19" width="12.50390625" style="76" hidden="1" customWidth="1"/>
    <col min="20" max="20" width="9.875" style="6" hidden="1" customWidth="1"/>
    <col min="21" max="21" width="14.875" style="12" hidden="1" customWidth="1"/>
    <col min="22" max="22" width="11.625" style="12" hidden="1" customWidth="1"/>
    <col min="23" max="23" width="9.875" style="55" customWidth="1"/>
    <col min="24" max="24" width="12.50390625" style="72" hidden="1" customWidth="1"/>
    <col min="25" max="25" width="11.00390625" style="72" hidden="1" customWidth="1"/>
    <col min="26" max="27" width="13.625" style="4" hidden="1" customWidth="1"/>
    <col min="28" max="28" width="13.375" style="4" hidden="1" customWidth="1"/>
    <col min="29" max="29" width="10.125" style="5" hidden="1" customWidth="1"/>
    <col min="30" max="30" width="12.125" style="56" hidden="1" customWidth="1"/>
    <col min="31" max="31" width="8.625" style="17" hidden="1" customWidth="1"/>
    <col min="32" max="32" width="16.50390625" style="5" hidden="1" customWidth="1"/>
    <col min="33" max="34" width="9.125" style="5" hidden="1" customWidth="1"/>
    <col min="35" max="36" width="9.125" style="5" customWidth="1"/>
    <col min="37" max="16384" width="9.125" style="5" customWidth="1"/>
  </cols>
  <sheetData>
    <row r="1" spans="2:25" ht="122.25" customHeight="1">
      <c r="B1" s="84" t="s">
        <v>954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62"/>
      <c r="Y1" s="62"/>
    </row>
    <row r="2" spans="2:25" ht="30.75" customHeight="1">
      <c r="B2" s="15"/>
      <c r="C2" s="15"/>
      <c r="D2" s="15"/>
      <c r="E2" s="15"/>
      <c r="F2" s="15"/>
      <c r="G2" s="24"/>
      <c r="H2" s="15"/>
      <c r="I2" s="15"/>
      <c r="J2" s="15"/>
      <c r="K2" s="15"/>
      <c r="L2" s="15"/>
      <c r="M2" s="15"/>
      <c r="N2" s="15"/>
      <c r="O2" s="15"/>
      <c r="P2" s="15"/>
      <c r="Q2" s="15"/>
      <c r="R2" s="75"/>
      <c r="U2" s="15"/>
      <c r="V2" s="15"/>
      <c r="W2" s="49"/>
      <c r="X2" s="63"/>
      <c r="Y2" s="63"/>
    </row>
    <row r="3" spans="2:25" ht="24.75" customHeight="1">
      <c r="B3" s="90" t="s">
        <v>357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64"/>
      <c r="Y3" s="64"/>
    </row>
    <row r="4" spans="2:25" ht="114" customHeight="1">
      <c r="B4" s="89" t="s">
        <v>955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65"/>
      <c r="Y4" s="65"/>
    </row>
    <row r="5" spans="1:25" ht="34.5" customHeight="1">
      <c r="A5" s="45"/>
      <c r="B5" s="109" t="s">
        <v>61</v>
      </c>
      <c r="C5" s="95" t="s">
        <v>70</v>
      </c>
      <c r="D5" s="96"/>
      <c r="E5" s="96"/>
      <c r="F5" s="97"/>
      <c r="G5" s="95" t="s">
        <v>62</v>
      </c>
      <c r="H5" s="96"/>
      <c r="I5" s="96"/>
      <c r="J5" s="97"/>
      <c r="K5" s="95" t="s">
        <v>358</v>
      </c>
      <c r="L5" s="96"/>
      <c r="M5" s="96"/>
      <c r="N5" s="97"/>
      <c r="O5" s="91" t="s">
        <v>81</v>
      </c>
      <c r="P5" s="91" t="s">
        <v>361</v>
      </c>
      <c r="Q5" s="91" t="s">
        <v>426</v>
      </c>
      <c r="R5" s="93" t="s">
        <v>82</v>
      </c>
      <c r="S5" s="98" t="s">
        <v>853</v>
      </c>
      <c r="T5" s="99" t="s">
        <v>82</v>
      </c>
      <c r="U5" s="91" t="s">
        <v>83</v>
      </c>
      <c r="V5" s="91" t="s">
        <v>74</v>
      </c>
      <c r="W5" s="107" t="s">
        <v>84</v>
      </c>
      <c r="X5" s="19"/>
      <c r="Y5" s="19"/>
    </row>
    <row r="6" spans="1:31" s="6" customFormat="1" ht="75.75" customHeight="1">
      <c r="A6" s="41" t="s">
        <v>451</v>
      </c>
      <c r="B6" s="110"/>
      <c r="C6" s="35" t="s">
        <v>79</v>
      </c>
      <c r="D6" s="35" t="s">
        <v>63</v>
      </c>
      <c r="E6" s="35" t="s">
        <v>77</v>
      </c>
      <c r="F6" s="30" t="s">
        <v>80</v>
      </c>
      <c r="G6" s="36" t="s">
        <v>79</v>
      </c>
      <c r="H6" s="35" t="s">
        <v>63</v>
      </c>
      <c r="I6" s="35" t="s">
        <v>78</v>
      </c>
      <c r="J6" s="30" t="s">
        <v>80</v>
      </c>
      <c r="K6" s="35" t="s">
        <v>359</v>
      </c>
      <c r="L6" s="35" t="s">
        <v>362</v>
      </c>
      <c r="M6" s="35" t="s">
        <v>78</v>
      </c>
      <c r="N6" s="30" t="s">
        <v>360</v>
      </c>
      <c r="O6" s="92"/>
      <c r="P6" s="92"/>
      <c r="Q6" s="92"/>
      <c r="R6" s="94"/>
      <c r="S6" s="98"/>
      <c r="T6" s="99"/>
      <c r="U6" s="92"/>
      <c r="V6" s="92"/>
      <c r="W6" s="108"/>
      <c r="X6" s="22" t="s">
        <v>387</v>
      </c>
      <c r="Y6" s="7" t="s">
        <v>392</v>
      </c>
      <c r="Z6" s="20" t="s">
        <v>385</v>
      </c>
      <c r="AA6" s="4" t="s">
        <v>384</v>
      </c>
      <c r="AB6" s="4" t="s">
        <v>145</v>
      </c>
      <c r="AC6" s="6" t="s">
        <v>356</v>
      </c>
      <c r="AD6" s="66" t="s">
        <v>851</v>
      </c>
      <c r="AE6" s="73" t="s">
        <v>852</v>
      </c>
    </row>
    <row r="7" spans="1:31" s="6" customFormat="1" ht="20.25" customHeight="1">
      <c r="A7" s="42"/>
      <c r="B7" s="38" t="s">
        <v>132</v>
      </c>
      <c r="C7" s="39"/>
      <c r="D7" s="39"/>
      <c r="E7" s="39"/>
      <c r="F7" s="39"/>
      <c r="G7" s="40"/>
      <c r="H7" s="39"/>
      <c r="I7" s="39"/>
      <c r="J7" s="39"/>
      <c r="K7" s="39"/>
      <c r="L7" s="39"/>
      <c r="M7" s="39"/>
      <c r="N7" s="39"/>
      <c r="O7" s="39"/>
      <c r="P7" s="39"/>
      <c r="Q7" s="39"/>
      <c r="R7" s="77"/>
      <c r="S7" s="76"/>
      <c r="U7" s="39"/>
      <c r="V7" s="39"/>
      <c r="W7" s="51"/>
      <c r="X7" s="23"/>
      <c r="Y7" s="21"/>
      <c r="Z7" s="20"/>
      <c r="AA7" s="4"/>
      <c r="AB7" s="4"/>
      <c r="AD7" s="66"/>
      <c r="AE7" s="73"/>
    </row>
    <row r="8" spans="1:31" ht="18.75" customHeight="1">
      <c r="A8" s="46" t="s">
        <v>452</v>
      </c>
      <c r="B8" s="32" t="s">
        <v>0</v>
      </c>
      <c r="C8" s="25">
        <v>572624</v>
      </c>
      <c r="D8" s="25">
        <v>1650</v>
      </c>
      <c r="E8" s="25">
        <v>21</v>
      </c>
      <c r="F8" s="9">
        <f aca="true" t="shared" si="0" ref="F8:F34">C8/D8/60*E8</f>
        <v>121.46569696969696</v>
      </c>
      <c r="G8" s="37">
        <v>389340</v>
      </c>
      <c r="H8" s="25">
        <v>1925</v>
      </c>
      <c r="I8" s="25">
        <v>21</v>
      </c>
      <c r="J8" s="9">
        <f>G8/H8/60*I8</f>
        <v>70.7890909090909</v>
      </c>
      <c r="K8" s="25">
        <f>'[2]Лист1'!$O$436+450</f>
        <v>5130</v>
      </c>
      <c r="L8" s="25">
        <v>846720</v>
      </c>
      <c r="M8" s="25">
        <v>2</v>
      </c>
      <c r="N8" s="9">
        <f>K8/L8*M8</f>
        <v>0.01211734693877551</v>
      </c>
      <c r="O8" s="9">
        <f aca="true" t="shared" si="1" ref="O8:O36">F8+J8+N8</f>
        <v>192.26690522572662</v>
      </c>
      <c r="P8" s="9">
        <f>O8*0.302</f>
        <v>58.06460537816944</v>
      </c>
      <c r="Q8" s="57">
        <f>(O8)*102%</f>
        <v>196.11224333024114</v>
      </c>
      <c r="R8" s="78">
        <f>13.64+0.83*2</f>
        <v>15.3</v>
      </c>
      <c r="S8" s="79">
        <v>15.3</v>
      </c>
      <c r="T8" s="21">
        <f>S8*1.1</f>
        <v>16.830000000000002</v>
      </c>
      <c r="U8" s="9">
        <f>N8+O8+P8+Q8+T8</f>
        <v>463.2858712810759</v>
      </c>
      <c r="V8" s="9">
        <f>U8*25%</f>
        <v>115.82146782026898</v>
      </c>
      <c r="W8" s="50">
        <f>U8+V8</f>
        <v>579.1073391013449</v>
      </c>
      <c r="X8" s="22"/>
      <c r="Y8" s="7">
        <v>600</v>
      </c>
      <c r="Z8" s="20">
        <v>359</v>
      </c>
      <c r="AA8" s="4">
        <v>290</v>
      </c>
      <c r="AB8" s="4" t="s">
        <v>292</v>
      </c>
      <c r="AC8" s="14">
        <f>(100*W8)/AA8-100</f>
        <v>99.69218589701549</v>
      </c>
      <c r="AD8" s="56">
        <v>499.208911049397</v>
      </c>
      <c r="AE8" s="17">
        <f>W8/AD8</f>
        <v>1.1600500838095855</v>
      </c>
    </row>
    <row r="9" spans="1:32" ht="18.75" customHeight="1">
      <c r="A9" s="43" t="s">
        <v>453</v>
      </c>
      <c r="B9" s="31" t="s">
        <v>2</v>
      </c>
      <c r="C9" s="7">
        <v>572624</v>
      </c>
      <c r="D9" s="7">
        <v>1650</v>
      </c>
      <c r="E9" s="7">
        <v>60</v>
      </c>
      <c r="F9" s="8">
        <f t="shared" si="0"/>
        <v>347.0448484848485</v>
      </c>
      <c r="G9" s="16"/>
      <c r="H9" s="7"/>
      <c r="I9" s="7"/>
      <c r="J9" s="8"/>
      <c r="K9" s="7"/>
      <c r="L9" s="7"/>
      <c r="M9" s="7">
        <v>0</v>
      </c>
      <c r="N9" s="8"/>
      <c r="O9" s="8">
        <f t="shared" si="1"/>
        <v>347.0448484848485</v>
      </c>
      <c r="P9" s="8">
        <f>O9*0.302</f>
        <v>104.80754424242424</v>
      </c>
      <c r="Q9" s="58">
        <f aca="true" t="shared" si="2" ref="Q9:Q36">(O9)*102%</f>
        <v>353.98574545454545</v>
      </c>
      <c r="R9" s="78">
        <f>R8+32</f>
        <v>47.3</v>
      </c>
      <c r="S9" s="79">
        <v>47.3</v>
      </c>
      <c r="T9" s="21">
        <f aca="true" t="shared" si="3" ref="T9:T35">S9*1.1</f>
        <v>52.03</v>
      </c>
      <c r="U9" s="9">
        <f aca="true" t="shared" si="4" ref="U9:U42">N9+O9+P9+Q9+T9</f>
        <v>857.8681381818182</v>
      </c>
      <c r="V9" s="8">
        <f aca="true" t="shared" si="5" ref="V9:V70">U9*25%</f>
        <v>214.46703454545454</v>
      </c>
      <c r="W9" s="52">
        <f aca="true" t="shared" si="6" ref="W9:W36">U9+V9</f>
        <v>1072.3351727272727</v>
      </c>
      <c r="X9" s="22"/>
      <c r="Y9" s="7"/>
      <c r="Z9" s="20">
        <v>749</v>
      </c>
      <c r="AA9" s="4">
        <v>472</v>
      </c>
      <c r="AC9" s="14">
        <f aca="true" t="shared" si="7" ref="AC9:AC55">(100*W9)/AA9-100</f>
        <v>127.18965523882898</v>
      </c>
      <c r="AD9" s="56">
        <v>860.003909090909</v>
      </c>
      <c r="AE9" s="17">
        <f aca="true" t="shared" si="8" ref="AE9:AE72">W9/AD9</f>
        <v>1.246895695928655</v>
      </c>
      <c r="AF9" s="74"/>
    </row>
    <row r="10" spans="1:31" ht="18.75" customHeight="1">
      <c r="A10" s="43" t="s">
        <v>454</v>
      </c>
      <c r="B10" s="31" t="s">
        <v>1</v>
      </c>
      <c r="C10" s="25">
        <v>572624</v>
      </c>
      <c r="D10" s="7">
        <v>1650</v>
      </c>
      <c r="E10" s="7">
        <v>20</v>
      </c>
      <c r="F10" s="8">
        <f t="shared" si="0"/>
        <v>115.68161616161616</v>
      </c>
      <c r="G10" s="37">
        <v>389340</v>
      </c>
      <c r="H10" s="7">
        <v>1925</v>
      </c>
      <c r="I10" s="7">
        <v>20</v>
      </c>
      <c r="J10" s="8">
        <f>G10/H10/60*I10</f>
        <v>67.41818181818181</v>
      </c>
      <c r="K10" s="7">
        <v>0</v>
      </c>
      <c r="L10" s="7">
        <v>1</v>
      </c>
      <c r="M10" s="7">
        <v>0</v>
      </c>
      <c r="N10" s="8">
        <f>K10/L10*M10</f>
        <v>0</v>
      </c>
      <c r="O10" s="8">
        <f t="shared" si="1"/>
        <v>183.09979797979798</v>
      </c>
      <c r="P10" s="8">
        <f aca="true" t="shared" si="9" ref="P10:P36">O10*0.302</f>
        <v>55.29613898989899</v>
      </c>
      <c r="Q10" s="58">
        <f t="shared" si="2"/>
        <v>186.76179393939395</v>
      </c>
      <c r="R10" s="78">
        <f>7.38+13.64+1.99</f>
        <v>23.009999999999998</v>
      </c>
      <c r="S10" s="79">
        <v>23.009999999999998</v>
      </c>
      <c r="T10" s="21">
        <f t="shared" si="3"/>
        <v>25.311</v>
      </c>
      <c r="U10" s="9">
        <f t="shared" si="4"/>
        <v>450.4687309090909</v>
      </c>
      <c r="V10" s="8">
        <f t="shared" si="5"/>
        <v>112.61718272727272</v>
      </c>
      <c r="W10" s="52">
        <f>U10+V10</f>
        <v>563.0859136363636</v>
      </c>
      <c r="X10" s="22"/>
      <c r="Y10" s="7"/>
      <c r="Z10" s="20">
        <v>367</v>
      </c>
      <c r="AA10" s="4">
        <v>250</v>
      </c>
      <c r="AC10" s="14">
        <f t="shared" si="7"/>
        <v>125.23436545454541</v>
      </c>
      <c r="AD10" s="56">
        <v>486.70914935064934</v>
      </c>
      <c r="AE10" s="17">
        <f t="shared" si="8"/>
        <v>1.156924858280584</v>
      </c>
    </row>
    <row r="11" spans="1:31" ht="18.75" customHeight="1">
      <c r="A11" s="46" t="s">
        <v>455</v>
      </c>
      <c r="B11" s="31" t="s">
        <v>64</v>
      </c>
      <c r="C11" s="7">
        <v>572624</v>
      </c>
      <c r="D11" s="7">
        <v>1650</v>
      </c>
      <c r="E11" s="7">
        <v>65</v>
      </c>
      <c r="F11" s="8">
        <f>C11/D11/60*E11</f>
        <v>375.96525252525254</v>
      </c>
      <c r="G11" s="16"/>
      <c r="H11" s="7"/>
      <c r="I11" s="7"/>
      <c r="J11" s="8"/>
      <c r="K11" s="7"/>
      <c r="L11" s="7"/>
      <c r="M11" s="7">
        <v>0</v>
      </c>
      <c r="N11" s="8"/>
      <c r="O11" s="8">
        <f t="shared" si="1"/>
        <v>375.96525252525254</v>
      </c>
      <c r="P11" s="8">
        <f t="shared" si="9"/>
        <v>113.54150626262626</v>
      </c>
      <c r="Q11" s="58">
        <f t="shared" si="2"/>
        <v>383.4845575757576</v>
      </c>
      <c r="R11" s="78">
        <f>R10+32</f>
        <v>55.01</v>
      </c>
      <c r="S11" s="79">
        <v>55.01</v>
      </c>
      <c r="T11" s="21">
        <f t="shared" si="3"/>
        <v>60.511</v>
      </c>
      <c r="U11" s="9">
        <f t="shared" si="4"/>
        <v>933.5023163636363</v>
      </c>
      <c r="V11" s="8">
        <f>U11*25%</f>
        <v>233.37557909090907</v>
      </c>
      <c r="W11" s="52">
        <f t="shared" si="6"/>
        <v>1166.8778954545453</v>
      </c>
      <c r="X11" s="22"/>
      <c r="Y11" s="7"/>
      <c r="Z11" s="20">
        <v>772</v>
      </c>
      <c r="AA11" s="4">
        <v>457</v>
      </c>
      <c r="AC11" s="14">
        <f t="shared" si="7"/>
        <v>155.33433160930971</v>
      </c>
      <c r="AD11" s="56">
        <v>909.9175545454544</v>
      </c>
      <c r="AE11" s="17">
        <f t="shared" si="8"/>
        <v>1.282399586232243</v>
      </c>
    </row>
    <row r="12" spans="1:31" ht="18.75" customHeight="1">
      <c r="A12" s="43" t="s">
        <v>456</v>
      </c>
      <c r="B12" s="31" t="s">
        <v>56</v>
      </c>
      <c r="C12" s="25">
        <v>572624</v>
      </c>
      <c r="D12" s="7">
        <v>1650</v>
      </c>
      <c r="E12" s="7">
        <v>25</v>
      </c>
      <c r="F12" s="8">
        <f t="shared" si="0"/>
        <v>144.60202020202019</v>
      </c>
      <c r="G12" s="37">
        <v>389340</v>
      </c>
      <c r="H12" s="7">
        <v>1925</v>
      </c>
      <c r="I12" s="7">
        <v>25</v>
      </c>
      <c r="J12" s="8">
        <f>G12/H12/60*I12</f>
        <v>84.27272727272727</v>
      </c>
      <c r="K12" s="7">
        <f>4680+450+7504.8+1947+24000</f>
        <v>38581.8</v>
      </c>
      <c r="L12" s="7">
        <v>846720</v>
      </c>
      <c r="M12" s="7">
        <v>5</v>
      </c>
      <c r="N12" s="8">
        <f>K12/L12*M12</f>
        <v>0.2278309240362812</v>
      </c>
      <c r="O12" s="8">
        <f t="shared" si="1"/>
        <v>229.10257839878372</v>
      </c>
      <c r="P12" s="8">
        <f t="shared" si="9"/>
        <v>69.18897867643268</v>
      </c>
      <c r="Q12" s="58">
        <f t="shared" si="2"/>
        <v>233.6846299667594</v>
      </c>
      <c r="R12" s="78">
        <f>13.64+1.66</f>
        <v>15.3</v>
      </c>
      <c r="S12" s="79">
        <v>15.3</v>
      </c>
      <c r="T12" s="21">
        <f t="shared" si="3"/>
        <v>16.830000000000002</v>
      </c>
      <c r="U12" s="9">
        <f t="shared" si="4"/>
        <v>549.0340179660121</v>
      </c>
      <c r="V12" s="8">
        <f t="shared" si="5"/>
        <v>137.25850449150303</v>
      </c>
      <c r="W12" s="52">
        <f t="shared" si="6"/>
        <v>686.2925224575151</v>
      </c>
      <c r="X12" s="22"/>
      <c r="Y12" s="7">
        <v>700</v>
      </c>
      <c r="Z12" s="20">
        <v>494</v>
      </c>
      <c r="AA12" s="4">
        <v>315</v>
      </c>
      <c r="AB12" s="4" t="s">
        <v>293</v>
      </c>
      <c r="AC12" s="14">
        <f t="shared" si="7"/>
        <v>117.87064205000482</v>
      </c>
      <c r="AD12" s="56">
        <v>589.0912071328399</v>
      </c>
      <c r="AE12" s="17">
        <f t="shared" si="8"/>
        <v>1.165002149323808</v>
      </c>
    </row>
    <row r="13" spans="1:31" ht="18.75" customHeight="1">
      <c r="A13" s="43" t="s">
        <v>457</v>
      </c>
      <c r="B13" s="31" t="s">
        <v>3</v>
      </c>
      <c r="C13" s="7">
        <v>572624</v>
      </c>
      <c r="D13" s="7">
        <v>1650</v>
      </c>
      <c r="E13" s="7">
        <v>60</v>
      </c>
      <c r="F13" s="8">
        <f>C13/D13/60*E13</f>
        <v>347.0448484848485</v>
      </c>
      <c r="G13" s="16"/>
      <c r="H13" s="7"/>
      <c r="I13" s="7"/>
      <c r="J13" s="8"/>
      <c r="K13" s="7"/>
      <c r="L13" s="7"/>
      <c r="M13" s="7">
        <v>0</v>
      </c>
      <c r="N13" s="8"/>
      <c r="O13" s="8">
        <f t="shared" si="1"/>
        <v>347.0448484848485</v>
      </c>
      <c r="P13" s="8">
        <f t="shared" si="9"/>
        <v>104.80754424242424</v>
      </c>
      <c r="Q13" s="58">
        <f t="shared" si="2"/>
        <v>353.98574545454545</v>
      </c>
      <c r="R13" s="78">
        <f>R12+32</f>
        <v>47.3</v>
      </c>
      <c r="S13" s="79">
        <v>47.3</v>
      </c>
      <c r="T13" s="21">
        <f t="shared" si="3"/>
        <v>52.03</v>
      </c>
      <c r="U13" s="9">
        <f t="shared" si="4"/>
        <v>857.8681381818182</v>
      </c>
      <c r="V13" s="8">
        <f>U13*25%</f>
        <v>214.46703454545454</v>
      </c>
      <c r="W13" s="52">
        <f t="shared" si="6"/>
        <v>1072.3351727272727</v>
      </c>
      <c r="X13" s="22"/>
      <c r="Y13" s="7"/>
      <c r="Z13" s="20">
        <v>749</v>
      </c>
      <c r="AA13" s="4">
        <v>472</v>
      </c>
      <c r="AB13" s="4" t="s">
        <v>294</v>
      </c>
      <c r="AC13" s="14">
        <f t="shared" si="7"/>
        <v>127.18965523882898</v>
      </c>
      <c r="AD13" s="56">
        <v>860.003909090909</v>
      </c>
      <c r="AE13" s="17">
        <f t="shared" si="8"/>
        <v>1.246895695928655</v>
      </c>
    </row>
    <row r="14" spans="1:31" ht="18.75" customHeight="1">
      <c r="A14" s="46" t="s">
        <v>458</v>
      </c>
      <c r="B14" s="31" t="s">
        <v>55</v>
      </c>
      <c r="C14" s="25">
        <v>572624</v>
      </c>
      <c r="D14" s="7">
        <v>1650</v>
      </c>
      <c r="E14" s="7">
        <v>22</v>
      </c>
      <c r="F14" s="8">
        <f>C14/D14/60*E14</f>
        <v>127.24977777777778</v>
      </c>
      <c r="G14" s="37">
        <v>389340</v>
      </c>
      <c r="H14" s="7">
        <v>1925</v>
      </c>
      <c r="I14" s="7">
        <v>21</v>
      </c>
      <c r="J14" s="8">
        <f>G14/H14/60*I14</f>
        <v>70.7890909090909</v>
      </c>
      <c r="K14" s="7">
        <f>'[2]Лист1'!$O$436+450</f>
        <v>5130</v>
      </c>
      <c r="L14" s="7">
        <v>846720</v>
      </c>
      <c r="M14" s="7">
        <v>10</v>
      </c>
      <c r="N14" s="8">
        <f>K14/L14*M14</f>
        <v>0.06058673469387755</v>
      </c>
      <c r="O14" s="8">
        <f t="shared" si="1"/>
        <v>198.09945542156257</v>
      </c>
      <c r="P14" s="8">
        <f t="shared" si="9"/>
        <v>59.826035537311895</v>
      </c>
      <c r="Q14" s="58">
        <f t="shared" si="2"/>
        <v>202.06144452999382</v>
      </c>
      <c r="R14" s="78">
        <f>13.64+7.38</f>
        <v>21.02</v>
      </c>
      <c r="S14" s="79">
        <v>21.02</v>
      </c>
      <c r="T14" s="21">
        <f t="shared" si="3"/>
        <v>23.122</v>
      </c>
      <c r="U14" s="9">
        <f t="shared" si="4"/>
        <v>483.1695222235622</v>
      </c>
      <c r="V14" s="8">
        <f t="shared" si="5"/>
        <v>120.79238055589055</v>
      </c>
      <c r="W14" s="52">
        <f t="shared" si="6"/>
        <v>603.9619027794528</v>
      </c>
      <c r="X14" s="22"/>
      <c r="Y14" s="7"/>
      <c r="Z14" s="20">
        <v>389</v>
      </c>
      <c r="AA14" s="4">
        <v>297</v>
      </c>
      <c r="AB14" s="4" t="s">
        <v>293</v>
      </c>
      <c r="AC14" s="14">
        <f t="shared" si="7"/>
        <v>103.35417602001777</v>
      </c>
      <c r="AD14" s="56">
        <v>515.5411266755566</v>
      </c>
      <c r="AE14" s="17">
        <f t="shared" si="8"/>
        <v>1.1715106157952393</v>
      </c>
    </row>
    <row r="15" spans="1:31" ht="18.75" customHeight="1">
      <c r="A15" s="43" t="s">
        <v>459</v>
      </c>
      <c r="B15" s="31" t="s">
        <v>57</v>
      </c>
      <c r="C15" s="7">
        <v>572624</v>
      </c>
      <c r="D15" s="7">
        <v>1650</v>
      </c>
      <c r="E15" s="7">
        <v>60</v>
      </c>
      <c r="F15" s="8">
        <f>C15/D15/60*E15</f>
        <v>347.0448484848485</v>
      </c>
      <c r="G15" s="16"/>
      <c r="H15" s="7"/>
      <c r="I15" s="7"/>
      <c r="J15" s="8"/>
      <c r="K15" s="7"/>
      <c r="L15" s="7"/>
      <c r="M15" s="7">
        <v>0</v>
      </c>
      <c r="N15" s="8"/>
      <c r="O15" s="8">
        <f t="shared" si="1"/>
        <v>347.0448484848485</v>
      </c>
      <c r="P15" s="8">
        <f t="shared" si="9"/>
        <v>104.80754424242424</v>
      </c>
      <c r="Q15" s="58">
        <f t="shared" si="2"/>
        <v>353.98574545454545</v>
      </c>
      <c r="R15" s="78">
        <f>R14+32</f>
        <v>53.019999999999996</v>
      </c>
      <c r="S15" s="79">
        <v>53.019999999999996</v>
      </c>
      <c r="T15" s="21">
        <f t="shared" si="3"/>
        <v>58.322</v>
      </c>
      <c r="U15" s="9">
        <f t="shared" si="4"/>
        <v>864.1601381818182</v>
      </c>
      <c r="V15" s="8">
        <f>U15*25%</f>
        <v>216.04003454545455</v>
      </c>
      <c r="W15" s="52">
        <f t="shared" si="6"/>
        <v>1080.2001727272727</v>
      </c>
      <c r="X15" s="22"/>
      <c r="Y15" s="7"/>
      <c r="Z15" s="20">
        <v>749</v>
      </c>
      <c r="AA15" s="4">
        <v>429</v>
      </c>
      <c r="AB15" s="4" t="s">
        <v>294</v>
      </c>
      <c r="AC15" s="14">
        <f t="shared" si="7"/>
        <v>151.79491205763932</v>
      </c>
      <c r="AD15" s="56">
        <v>867.153909090909</v>
      </c>
      <c r="AE15" s="17">
        <f t="shared" si="8"/>
        <v>1.2456844873820765</v>
      </c>
    </row>
    <row r="16" spans="1:31" ht="18.75" customHeight="1">
      <c r="A16" s="43" t="s">
        <v>460</v>
      </c>
      <c r="B16" s="31" t="s">
        <v>4</v>
      </c>
      <c r="C16" s="25">
        <v>572624</v>
      </c>
      <c r="D16" s="7">
        <v>1650</v>
      </c>
      <c r="E16" s="7">
        <v>21</v>
      </c>
      <c r="F16" s="8">
        <f t="shared" si="0"/>
        <v>121.46569696969696</v>
      </c>
      <c r="G16" s="37">
        <v>389340</v>
      </c>
      <c r="H16" s="7">
        <v>1925</v>
      </c>
      <c r="I16" s="7">
        <v>21</v>
      </c>
      <c r="J16" s="8">
        <f>G16/H16/60*I16</f>
        <v>70.7890909090909</v>
      </c>
      <c r="K16" s="7">
        <f>'[2]Лист1'!$O$436+'[2]Лист1'!$O$625+'[2]Лист1'!$O$514</f>
        <v>18480</v>
      </c>
      <c r="L16" s="7">
        <v>846720</v>
      </c>
      <c r="M16" s="7">
        <v>5</v>
      </c>
      <c r="N16" s="8">
        <f>K16/L16*M16</f>
        <v>0.10912698412698413</v>
      </c>
      <c r="O16" s="8">
        <f t="shared" si="1"/>
        <v>192.36391486291484</v>
      </c>
      <c r="P16" s="8">
        <f t="shared" si="9"/>
        <v>58.09390228860028</v>
      </c>
      <c r="Q16" s="58">
        <f t="shared" si="2"/>
        <v>196.21119316017314</v>
      </c>
      <c r="R16" s="78">
        <f>13.64</f>
        <v>13.64</v>
      </c>
      <c r="S16" s="79">
        <v>13.64</v>
      </c>
      <c r="T16" s="21">
        <f t="shared" si="3"/>
        <v>15.004000000000001</v>
      </c>
      <c r="U16" s="9">
        <f t="shared" si="4"/>
        <v>461.78213729581523</v>
      </c>
      <c r="V16" s="8">
        <f t="shared" si="5"/>
        <v>115.44553432395381</v>
      </c>
      <c r="W16" s="52">
        <f t="shared" si="6"/>
        <v>577.227671619769</v>
      </c>
      <c r="X16" s="22"/>
      <c r="Y16" s="7"/>
      <c r="Z16" s="20">
        <v>387</v>
      </c>
      <c r="AA16" s="4">
        <v>235</v>
      </c>
      <c r="AB16" s="4">
        <v>350</v>
      </c>
      <c r="AC16" s="14">
        <f>(100*W16)/AA16-100</f>
        <v>145.62879643394427</v>
      </c>
      <c r="AD16" s="56">
        <v>497.5367435678211</v>
      </c>
      <c r="AE16" s="17">
        <f t="shared" si="8"/>
        <v>1.160170940301789</v>
      </c>
    </row>
    <row r="17" spans="1:31" ht="18.75" customHeight="1">
      <c r="A17" s="46" t="s">
        <v>461</v>
      </c>
      <c r="B17" s="31" t="s">
        <v>5</v>
      </c>
      <c r="C17" s="7">
        <v>572624</v>
      </c>
      <c r="D17" s="7">
        <v>1650</v>
      </c>
      <c r="E17" s="7">
        <v>60</v>
      </c>
      <c r="F17" s="8">
        <f t="shared" si="0"/>
        <v>347.0448484848485</v>
      </c>
      <c r="G17" s="16"/>
      <c r="H17" s="7"/>
      <c r="I17" s="7"/>
      <c r="J17" s="8"/>
      <c r="K17" s="7"/>
      <c r="L17" s="7"/>
      <c r="M17" s="7">
        <v>0</v>
      </c>
      <c r="N17" s="8"/>
      <c r="O17" s="8">
        <f t="shared" si="1"/>
        <v>347.0448484848485</v>
      </c>
      <c r="P17" s="8">
        <f t="shared" si="9"/>
        <v>104.80754424242424</v>
      </c>
      <c r="Q17" s="58">
        <f t="shared" si="2"/>
        <v>353.98574545454545</v>
      </c>
      <c r="R17" s="78">
        <f>R16+32</f>
        <v>45.64</v>
      </c>
      <c r="S17" s="79">
        <v>45.64</v>
      </c>
      <c r="T17" s="21">
        <f t="shared" si="3"/>
        <v>50.20400000000001</v>
      </c>
      <c r="U17" s="9">
        <f t="shared" si="4"/>
        <v>856.0421381818182</v>
      </c>
      <c r="V17" s="8">
        <f t="shared" si="5"/>
        <v>214.01053454545456</v>
      </c>
      <c r="W17" s="52">
        <f t="shared" si="6"/>
        <v>1070.0526727272727</v>
      </c>
      <c r="X17" s="22"/>
      <c r="Y17" s="7"/>
      <c r="Z17" s="20">
        <v>658</v>
      </c>
      <c r="AA17" s="4">
        <v>414</v>
      </c>
      <c r="AB17" s="4">
        <v>700</v>
      </c>
      <c r="AC17" s="14">
        <f t="shared" si="7"/>
        <v>158.46682916117697</v>
      </c>
      <c r="AD17" s="56">
        <v>857.928909090909</v>
      </c>
      <c r="AE17" s="17">
        <f t="shared" si="8"/>
        <v>1.2472509801087568</v>
      </c>
    </row>
    <row r="18" spans="1:31" ht="18.75" customHeight="1">
      <c r="A18" s="43" t="s">
        <v>462</v>
      </c>
      <c r="B18" s="31" t="s">
        <v>7</v>
      </c>
      <c r="C18" s="25">
        <v>572624</v>
      </c>
      <c r="D18" s="7">
        <v>1650</v>
      </c>
      <c r="E18" s="7">
        <v>21</v>
      </c>
      <c r="F18" s="8">
        <f t="shared" si="0"/>
        <v>121.46569696969696</v>
      </c>
      <c r="G18" s="37">
        <v>389340</v>
      </c>
      <c r="H18" s="7">
        <v>1925</v>
      </c>
      <c r="I18" s="7">
        <v>21</v>
      </c>
      <c r="J18" s="8">
        <f>G18/H18/60*I18</f>
        <v>70.7890909090909</v>
      </c>
      <c r="K18" s="7">
        <f>K12+'[2]Лист1'!$O$503</f>
        <v>50941.8</v>
      </c>
      <c r="L18" s="7">
        <v>846720</v>
      </c>
      <c r="M18" s="7">
        <v>16</v>
      </c>
      <c r="N18" s="8">
        <f>K18/L18*M18</f>
        <v>0.9626190476190477</v>
      </c>
      <c r="O18" s="8">
        <f t="shared" si="1"/>
        <v>193.2174069264069</v>
      </c>
      <c r="P18" s="8">
        <f t="shared" si="9"/>
        <v>58.35165689177489</v>
      </c>
      <c r="Q18" s="58">
        <f t="shared" si="2"/>
        <v>197.08175506493504</v>
      </c>
      <c r="R18" s="78">
        <f>13.64+1.66</f>
        <v>15.3</v>
      </c>
      <c r="S18" s="79">
        <v>15.3</v>
      </c>
      <c r="T18" s="21">
        <f t="shared" si="3"/>
        <v>16.830000000000002</v>
      </c>
      <c r="U18" s="9">
        <f t="shared" si="4"/>
        <v>466.4434379307359</v>
      </c>
      <c r="V18" s="8">
        <f t="shared" si="5"/>
        <v>116.61085948268398</v>
      </c>
      <c r="W18" s="52">
        <f t="shared" si="6"/>
        <v>583.0542974134199</v>
      </c>
      <c r="X18" s="22">
        <v>450</v>
      </c>
      <c r="Y18" s="7">
        <v>700</v>
      </c>
      <c r="Z18" s="20">
        <v>359</v>
      </c>
      <c r="AA18" s="4">
        <v>255</v>
      </c>
      <c r="AB18" s="4" t="s">
        <v>293</v>
      </c>
      <c r="AC18" s="14">
        <f t="shared" si="7"/>
        <v>128.64874408369408</v>
      </c>
      <c r="AD18" s="56">
        <v>503.1558693614719</v>
      </c>
      <c r="AE18" s="17">
        <f t="shared" si="8"/>
        <v>1.158794586165402</v>
      </c>
    </row>
    <row r="19" spans="1:31" ht="18.75" customHeight="1">
      <c r="A19" s="43" t="s">
        <v>463</v>
      </c>
      <c r="B19" s="31" t="s">
        <v>54</v>
      </c>
      <c r="C19" s="7">
        <v>572624</v>
      </c>
      <c r="D19" s="7">
        <v>1650</v>
      </c>
      <c r="E19" s="7">
        <v>60</v>
      </c>
      <c r="F19" s="8">
        <f>C19/D19/60*E19</f>
        <v>347.0448484848485</v>
      </c>
      <c r="G19" s="16"/>
      <c r="H19" s="7"/>
      <c r="I19" s="7"/>
      <c r="J19" s="8"/>
      <c r="K19" s="7"/>
      <c r="L19" s="7"/>
      <c r="M19" s="7">
        <v>0</v>
      </c>
      <c r="N19" s="8"/>
      <c r="O19" s="8">
        <f t="shared" si="1"/>
        <v>347.0448484848485</v>
      </c>
      <c r="P19" s="8">
        <f t="shared" si="9"/>
        <v>104.80754424242424</v>
      </c>
      <c r="Q19" s="58">
        <f t="shared" si="2"/>
        <v>353.98574545454545</v>
      </c>
      <c r="R19" s="78">
        <f>R18+32</f>
        <v>47.3</v>
      </c>
      <c r="S19" s="79">
        <v>47.3</v>
      </c>
      <c r="T19" s="21">
        <f t="shared" si="3"/>
        <v>52.03</v>
      </c>
      <c r="U19" s="9">
        <f t="shared" si="4"/>
        <v>857.8681381818182</v>
      </c>
      <c r="V19" s="8">
        <f>U19*25%</f>
        <v>214.46703454545454</v>
      </c>
      <c r="W19" s="52">
        <f t="shared" si="6"/>
        <v>1072.3351727272727</v>
      </c>
      <c r="X19" s="22"/>
      <c r="Y19" s="7"/>
      <c r="Z19" s="20">
        <v>749</v>
      </c>
      <c r="AA19" s="4">
        <v>472</v>
      </c>
      <c r="AB19" s="4" t="s">
        <v>294</v>
      </c>
      <c r="AC19" s="14">
        <f t="shared" si="7"/>
        <v>127.18965523882898</v>
      </c>
      <c r="AD19" s="56">
        <v>860.003909090909</v>
      </c>
      <c r="AE19" s="17">
        <f t="shared" si="8"/>
        <v>1.246895695928655</v>
      </c>
    </row>
    <row r="20" spans="1:31" ht="15">
      <c r="A20" s="46" t="s">
        <v>464</v>
      </c>
      <c r="B20" s="31" t="s">
        <v>112</v>
      </c>
      <c r="C20" s="25">
        <v>572624</v>
      </c>
      <c r="D20" s="7">
        <v>1650</v>
      </c>
      <c r="E20" s="7">
        <v>19</v>
      </c>
      <c r="F20" s="8">
        <f t="shared" si="0"/>
        <v>109.89753535353535</v>
      </c>
      <c r="G20" s="37">
        <v>389340</v>
      </c>
      <c r="H20" s="7">
        <v>1925</v>
      </c>
      <c r="I20" s="7">
        <v>18</v>
      </c>
      <c r="J20" s="8">
        <f>G20/H20/60*I20</f>
        <v>60.67636363636363</v>
      </c>
      <c r="K20" s="7">
        <v>0</v>
      </c>
      <c r="L20" s="7">
        <v>1</v>
      </c>
      <c r="M20" s="7">
        <v>0</v>
      </c>
      <c r="N20" s="8">
        <f>K20/L20*M20</f>
        <v>0</v>
      </c>
      <c r="O20" s="8">
        <f t="shared" si="1"/>
        <v>170.57389898989896</v>
      </c>
      <c r="P20" s="8">
        <f t="shared" si="9"/>
        <v>51.51331749494948</v>
      </c>
      <c r="Q20" s="58">
        <f t="shared" si="2"/>
        <v>173.98537696969694</v>
      </c>
      <c r="R20" s="78">
        <f>28+29+13.64</f>
        <v>70.64</v>
      </c>
      <c r="S20" s="79">
        <v>70.64</v>
      </c>
      <c r="T20" s="21">
        <f t="shared" si="3"/>
        <v>77.70400000000001</v>
      </c>
      <c r="U20" s="9">
        <f t="shared" si="4"/>
        <v>473.77659345454543</v>
      </c>
      <c r="V20" s="8">
        <f t="shared" si="5"/>
        <v>118.44414836363636</v>
      </c>
      <c r="W20" s="52">
        <f t="shared" si="6"/>
        <v>592.2207418181818</v>
      </c>
      <c r="X20" s="22">
        <v>500</v>
      </c>
      <c r="Y20" s="7"/>
      <c r="Z20" s="20">
        <v>362</v>
      </c>
      <c r="AA20" s="4">
        <v>273</v>
      </c>
      <c r="AB20" s="4">
        <v>300</v>
      </c>
      <c r="AC20" s="14">
        <f t="shared" si="7"/>
        <v>116.93067465867463</v>
      </c>
      <c r="AD20" s="56">
        <v>504.4114065454545</v>
      </c>
      <c r="AE20" s="17">
        <f t="shared" si="8"/>
        <v>1.1740827707963706</v>
      </c>
    </row>
    <row r="21" spans="1:31" ht="15">
      <c r="A21" s="43" t="s">
        <v>465</v>
      </c>
      <c r="B21" s="31" t="s">
        <v>59</v>
      </c>
      <c r="C21" s="7">
        <v>572624</v>
      </c>
      <c r="D21" s="7">
        <v>1650</v>
      </c>
      <c r="E21" s="7">
        <v>60</v>
      </c>
      <c r="F21" s="8">
        <f>C21/D21/60*E21</f>
        <v>347.0448484848485</v>
      </c>
      <c r="G21" s="16"/>
      <c r="H21" s="7"/>
      <c r="I21" s="7"/>
      <c r="J21" s="8"/>
      <c r="K21" s="7"/>
      <c r="L21" s="7"/>
      <c r="M21" s="7">
        <v>0</v>
      </c>
      <c r="N21" s="8"/>
      <c r="O21" s="8">
        <f t="shared" si="1"/>
        <v>347.0448484848485</v>
      </c>
      <c r="P21" s="8">
        <f t="shared" si="9"/>
        <v>104.80754424242424</v>
      </c>
      <c r="Q21" s="58">
        <f t="shared" si="2"/>
        <v>353.98574545454545</v>
      </c>
      <c r="R21" s="78">
        <f>R20+32</f>
        <v>102.64</v>
      </c>
      <c r="S21" s="79">
        <v>102.64</v>
      </c>
      <c r="T21" s="21">
        <f t="shared" si="3"/>
        <v>112.90400000000001</v>
      </c>
      <c r="U21" s="9">
        <f t="shared" si="4"/>
        <v>918.7421381818182</v>
      </c>
      <c r="V21" s="8">
        <f>U21*25%</f>
        <v>229.68553454545454</v>
      </c>
      <c r="W21" s="52">
        <f t="shared" si="6"/>
        <v>1148.4276727272727</v>
      </c>
      <c r="X21" s="22"/>
      <c r="Y21" s="7"/>
      <c r="Z21" s="20">
        <v>749</v>
      </c>
      <c r="AA21" s="4">
        <v>429</v>
      </c>
      <c r="AC21" s="14">
        <f t="shared" si="7"/>
        <v>167.69875821148548</v>
      </c>
      <c r="AD21" s="56">
        <v>929.178909090909</v>
      </c>
      <c r="AE21" s="17">
        <f t="shared" si="8"/>
        <v>1.2359596860101705</v>
      </c>
    </row>
    <row r="22" spans="1:31" ht="15">
      <c r="A22" s="43" t="s">
        <v>466</v>
      </c>
      <c r="B22" s="31" t="s">
        <v>111</v>
      </c>
      <c r="C22" s="25">
        <v>572624</v>
      </c>
      <c r="D22" s="7">
        <v>1650</v>
      </c>
      <c r="E22" s="7">
        <v>18</v>
      </c>
      <c r="F22" s="8">
        <f t="shared" si="0"/>
        <v>104.11345454545454</v>
      </c>
      <c r="G22" s="37">
        <v>389340</v>
      </c>
      <c r="H22" s="7">
        <v>1925</v>
      </c>
      <c r="I22" s="7">
        <v>18</v>
      </c>
      <c r="J22" s="8">
        <f>G22/H22/60*I22</f>
        <v>60.67636363636363</v>
      </c>
      <c r="K22" s="7">
        <v>0</v>
      </c>
      <c r="L22" s="7">
        <v>1</v>
      </c>
      <c r="M22" s="7">
        <v>0</v>
      </c>
      <c r="N22" s="8">
        <f>K22/L22*M22</f>
        <v>0</v>
      </c>
      <c r="O22" s="8">
        <f t="shared" si="1"/>
        <v>164.7898181818182</v>
      </c>
      <c r="P22" s="8">
        <f t="shared" si="9"/>
        <v>49.76652509090909</v>
      </c>
      <c r="Q22" s="58">
        <f t="shared" si="2"/>
        <v>168.08561454545455</v>
      </c>
      <c r="R22" s="78">
        <f>13.64+14</f>
        <v>27.64</v>
      </c>
      <c r="S22" s="79">
        <v>27.64</v>
      </c>
      <c r="T22" s="21">
        <f t="shared" si="3"/>
        <v>30.404000000000003</v>
      </c>
      <c r="U22" s="9">
        <f t="shared" si="4"/>
        <v>413.0459578181818</v>
      </c>
      <c r="V22" s="8">
        <f t="shared" si="5"/>
        <v>103.26148945454545</v>
      </c>
      <c r="W22" s="52">
        <f t="shared" si="6"/>
        <v>516.3074472727272</v>
      </c>
      <c r="X22" s="22"/>
      <c r="Y22" s="7"/>
      <c r="Z22" s="20">
        <v>359</v>
      </c>
      <c r="AA22" s="4">
        <v>255</v>
      </c>
      <c r="AB22" s="4">
        <v>265</v>
      </c>
      <c r="AC22" s="14">
        <f t="shared" si="7"/>
        <v>102.47350873440283</v>
      </c>
      <c r="AD22" s="56">
        <v>443.5589412987013</v>
      </c>
      <c r="AE22" s="17">
        <f t="shared" si="8"/>
        <v>1.1640109108409014</v>
      </c>
    </row>
    <row r="23" spans="1:31" ht="15">
      <c r="A23" s="46" t="s">
        <v>467</v>
      </c>
      <c r="B23" s="31" t="s">
        <v>302</v>
      </c>
      <c r="C23" s="7">
        <v>572624</v>
      </c>
      <c r="D23" s="7">
        <v>1650</v>
      </c>
      <c r="E23" s="7">
        <v>60</v>
      </c>
      <c r="F23" s="8">
        <f t="shared" si="0"/>
        <v>347.0448484848485</v>
      </c>
      <c r="G23" s="16"/>
      <c r="H23" s="7"/>
      <c r="I23" s="7"/>
      <c r="J23" s="8"/>
      <c r="K23" s="7"/>
      <c r="L23" s="7"/>
      <c r="M23" s="7">
        <v>0</v>
      </c>
      <c r="N23" s="8"/>
      <c r="O23" s="8">
        <f t="shared" si="1"/>
        <v>347.0448484848485</v>
      </c>
      <c r="P23" s="8">
        <f t="shared" si="9"/>
        <v>104.80754424242424</v>
      </c>
      <c r="Q23" s="58">
        <f t="shared" si="2"/>
        <v>353.98574545454545</v>
      </c>
      <c r="R23" s="78">
        <f>R22+32</f>
        <v>59.64</v>
      </c>
      <c r="S23" s="79">
        <v>59.64</v>
      </c>
      <c r="T23" s="21">
        <f t="shared" si="3"/>
        <v>65.604</v>
      </c>
      <c r="U23" s="9">
        <f t="shared" si="4"/>
        <v>871.4421381818182</v>
      </c>
      <c r="V23" s="8">
        <f t="shared" si="5"/>
        <v>217.86053454545456</v>
      </c>
      <c r="W23" s="52">
        <f t="shared" si="6"/>
        <v>1089.3026727272727</v>
      </c>
      <c r="X23" s="22"/>
      <c r="Y23" s="7"/>
      <c r="Z23" s="20">
        <v>749</v>
      </c>
      <c r="AA23" s="4">
        <v>472</v>
      </c>
      <c r="AB23" s="4">
        <v>500</v>
      </c>
      <c r="AC23" s="14">
        <f t="shared" si="7"/>
        <v>130.78446456086286</v>
      </c>
      <c r="AD23" s="56">
        <v>875.428909090909</v>
      </c>
      <c r="AE23" s="17">
        <f t="shared" si="8"/>
        <v>1.2443074033943675</v>
      </c>
    </row>
    <row r="24" spans="1:31" ht="15">
      <c r="A24" s="43" t="s">
        <v>468</v>
      </c>
      <c r="B24" s="31" t="s">
        <v>16</v>
      </c>
      <c r="C24" s="25">
        <v>572624</v>
      </c>
      <c r="D24" s="7">
        <v>1650</v>
      </c>
      <c r="E24" s="7">
        <v>18</v>
      </c>
      <c r="F24" s="8">
        <f t="shared" si="0"/>
        <v>104.11345454545454</v>
      </c>
      <c r="G24" s="37">
        <v>389340</v>
      </c>
      <c r="H24" s="7">
        <v>1925</v>
      </c>
      <c r="I24" s="7">
        <v>18</v>
      </c>
      <c r="J24" s="8">
        <f aca="true" t="shared" si="10" ref="J24:J34">G24/H24/60*I24</f>
        <v>60.67636363636363</v>
      </c>
      <c r="K24" s="7">
        <v>35000</v>
      </c>
      <c r="L24" s="7">
        <v>846720</v>
      </c>
      <c r="M24" s="7">
        <v>20</v>
      </c>
      <c r="N24" s="8">
        <f>K24/L24*M24</f>
        <v>0.8267195767195767</v>
      </c>
      <c r="O24" s="8">
        <f t="shared" si="1"/>
        <v>165.61653775853776</v>
      </c>
      <c r="P24" s="8">
        <f t="shared" si="9"/>
        <v>50.0161944030784</v>
      </c>
      <c r="Q24" s="58">
        <f t="shared" si="2"/>
        <v>168.92886851370852</v>
      </c>
      <c r="R24" s="78">
        <f>21+13.64</f>
        <v>34.64</v>
      </c>
      <c r="S24" s="79">
        <v>34.64</v>
      </c>
      <c r="T24" s="21">
        <f t="shared" si="3"/>
        <v>38.104000000000006</v>
      </c>
      <c r="U24" s="9">
        <f t="shared" si="4"/>
        <v>423.49232025204424</v>
      </c>
      <c r="V24" s="8">
        <f t="shared" si="5"/>
        <v>105.87308006301106</v>
      </c>
      <c r="W24" s="52">
        <f t="shared" si="6"/>
        <v>529.3654003150552</v>
      </c>
      <c r="X24" s="22"/>
      <c r="Y24" s="7"/>
      <c r="Z24" s="20">
        <v>283</v>
      </c>
      <c r="AA24" s="4">
        <v>235</v>
      </c>
      <c r="AB24" s="4">
        <v>300</v>
      </c>
      <c r="AC24" s="14">
        <f t="shared" si="7"/>
        <v>125.26187247449158</v>
      </c>
      <c r="AD24" s="56">
        <v>455.74189434102937</v>
      </c>
      <c r="AE24" s="17">
        <f t="shared" si="8"/>
        <v>1.161546495699019</v>
      </c>
    </row>
    <row r="25" spans="1:31" ht="15">
      <c r="A25" s="43" t="s">
        <v>469</v>
      </c>
      <c r="B25" s="31" t="s">
        <v>58</v>
      </c>
      <c r="C25" s="7">
        <v>572624</v>
      </c>
      <c r="D25" s="7">
        <v>1650</v>
      </c>
      <c r="E25" s="7">
        <v>60</v>
      </c>
      <c r="F25" s="8">
        <f>C25/D25/60*E25</f>
        <v>347.0448484848485</v>
      </c>
      <c r="G25" s="16"/>
      <c r="H25" s="7"/>
      <c r="I25" s="7"/>
      <c r="J25" s="8"/>
      <c r="K25" s="7"/>
      <c r="L25" s="7"/>
      <c r="M25" s="7">
        <v>0</v>
      </c>
      <c r="N25" s="8"/>
      <c r="O25" s="8">
        <f t="shared" si="1"/>
        <v>347.0448484848485</v>
      </c>
      <c r="P25" s="8">
        <f t="shared" si="9"/>
        <v>104.80754424242424</v>
      </c>
      <c r="Q25" s="58">
        <f t="shared" si="2"/>
        <v>353.98574545454545</v>
      </c>
      <c r="R25" s="78">
        <f>R24+32</f>
        <v>66.64</v>
      </c>
      <c r="S25" s="79">
        <v>66.64</v>
      </c>
      <c r="T25" s="21">
        <f t="shared" si="3"/>
        <v>73.304</v>
      </c>
      <c r="U25" s="9">
        <f t="shared" si="4"/>
        <v>879.1421381818182</v>
      </c>
      <c r="V25" s="8">
        <f t="shared" si="5"/>
        <v>219.78553454545454</v>
      </c>
      <c r="W25" s="52">
        <f t="shared" si="6"/>
        <v>1098.9276727272727</v>
      </c>
      <c r="X25" s="22"/>
      <c r="Y25" s="7"/>
      <c r="Z25" s="20">
        <v>749</v>
      </c>
      <c r="AA25" s="4">
        <v>414</v>
      </c>
      <c r="AC25" s="14">
        <f t="shared" si="7"/>
        <v>165.4414668423364</v>
      </c>
      <c r="AD25" s="56">
        <v>884.178909090909</v>
      </c>
      <c r="AE25" s="17">
        <f t="shared" si="8"/>
        <v>1.2428793103164641</v>
      </c>
    </row>
    <row r="26" spans="1:31" ht="15">
      <c r="A26" s="46" t="s">
        <v>470</v>
      </c>
      <c r="B26" s="31" t="s">
        <v>303</v>
      </c>
      <c r="C26" s="25">
        <v>572624</v>
      </c>
      <c r="D26" s="7">
        <v>1650</v>
      </c>
      <c r="E26" s="7">
        <v>18</v>
      </c>
      <c r="F26" s="8">
        <f t="shared" si="0"/>
        <v>104.11345454545454</v>
      </c>
      <c r="G26" s="37">
        <v>389340</v>
      </c>
      <c r="H26" s="7">
        <v>1925</v>
      </c>
      <c r="I26" s="7">
        <v>18</v>
      </c>
      <c r="J26" s="8">
        <f t="shared" si="10"/>
        <v>60.67636363636363</v>
      </c>
      <c r="K26" s="7">
        <v>0</v>
      </c>
      <c r="L26" s="7">
        <v>1</v>
      </c>
      <c r="M26" s="7">
        <v>0</v>
      </c>
      <c r="N26" s="8">
        <f>K26/L26*M26</f>
        <v>0</v>
      </c>
      <c r="O26" s="8">
        <f t="shared" si="1"/>
        <v>164.7898181818182</v>
      </c>
      <c r="P26" s="8">
        <f t="shared" si="9"/>
        <v>49.76652509090909</v>
      </c>
      <c r="Q26" s="58">
        <f t="shared" si="2"/>
        <v>168.08561454545455</v>
      </c>
      <c r="R26" s="78">
        <f>46.2</f>
        <v>46.2</v>
      </c>
      <c r="S26" s="79">
        <v>46.2</v>
      </c>
      <c r="T26" s="21">
        <f t="shared" si="3"/>
        <v>50.82000000000001</v>
      </c>
      <c r="U26" s="9">
        <f t="shared" si="4"/>
        <v>433.4619578181818</v>
      </c>
      <c r="V26" s="8">
        <f t="shared" si="5"/>
        <v>108.36548945454545</v>
      </c>
      <c r="W26" s="52">
        <f t="shared" si="6"/>
        <v>541.8274472727272</v>
      </c>
      <c r="X26" s="22"/>
      <c r="Y26" s="7"/>
      <c r="Z26" s="20">
        <v>321</v>
      </c>
      <c r="AA26" s="4">
        <v>235</v>
      </c>
      <c r="AB26" s="4">
        <v>300</v>
      </c>
      <c r="AC26" s="14">
        <f t="shared" si="7"/>
        <v>130.56487117988394</v>
      </c>
      <c r="AD26" s="56">
        <v>466.7589412987013</v>
      </c>
      <c r="AE26" s="17">
        <f t="shared" si="8"/>
        <v>1.1608292832380602</v>
      </c>
    </row>
    <row r="27" spans="1:31" ht="15">
      <c r="A27" s="43" t="s">
        <v>471</v>
      </c>
      <c r="B27" s="31" t="s">
        <v>299</v>
      </c>
      <c r="C27" s="7">
        <v>572624</v>
      </c>
      <c r="D27" s="7">
        <v>1650</v>
      </c>
      <c r="E27" s="7">
        <v>60</v>
      </c>
      <c r="F27" s="8">
        <f t="shared" si="0"/>
        <v>347.0448484848485</v>
      </c>
      <c r="G27" s="16"/>
      <c r="H27" s="7"/>
      <c r="I27" s="7"/>
      <c r="J27" s="8"/>
      <c r="K27" s="7"/>
      <c r="L27" s="7"/>
      <c r="M27" s="7">
        <v>0</v>
      </c>
      <c r="N27" s="8"/>
      <c r="O27" s="8">
        <f t="shared" si="1"/>
        <v>347.0448484848485</v>
      </c>
      <c r="P27" s="8">
        <f t="shared" si="9"/>
        <v>104.80754424242424</v>
      </c>
      <c r="Q27" s="58">
        <f t="shared" si="2"/>
        <v>353.98574545454545</v>
      </c>
      <c r="R27" s="78">
        <f>R26+32</f>
        <v>78.2</v>
      </c>
      <c r="S27" s="79">
        <v>78.2</v>
      </c>
      <c r="T27" s="21">
        <f t="shared" si="3"/>
        <v>86.02000000000001</v>
      </c>
      <c r="U27" s="9">
        <f t="shared" si="4"/>
        <v>891.8581381818182</v>
      </c>
      <c r="V27" s="8">
        <f t="shared" si="5"/>
        <v>222.96453454545454</v>
      </c>
      <c r="W27" s="52">
        <f t="shared" si="6"/>
        <v>1114.8226727272727</v>
      </c>
      <c r="X27" s="22"/>
      <c r="Y27" s="7"/>
      <c r="Z27" s="20">
        <v>749</v>
      </c>
      <c r="AA27" s="4">
        <v>414</v>
      </c>
      <c r="AC27" s="14">
        <f t="shared" si="7"/>
        <v>169.28083882301274</v>
      </c>
      <c r="AD27" s="56">
        <v>898.628909090909</v>
      </c>
      <c r="AE27" s="17">
        <f t="shared" si="8"/>
        <v>1.2405818035111673</v>
      </c>
    </row>
    <row r="28" spans="1:31" ht="15">
      <c r="A28" s="43" t="s">
        <v>472</v>
      </c>
      <c r="B28" s="31" t="s">
        <v>304</v>
      </c>
      <c r="C28" s="25">
        <v>572624</v>
      </c>
      <c r="D28" s="7">
        <v>1650</v>
      </c>
      <c r="E28" s="7">
        <v>20</v>
      </c>
      <c r="F28" s="8">
        <f t="shared" si="0"/>
        <v>115.68161616161616</v>
      </c>
      <c r="G28" s="37">
        <v>389340</v>
      </c>
      <c r="H28" s="7">
        <v>1925</v>
      </c>
      <c r="I28" s="7">
        <v>19</v>
      </c>
      <c r="J28" s="8">
        <f t="shared" si="10"/>
        <v>64.04727272727273</v>
      </c>
      <c r="K28" s="7">
        <v>0</v>
      </c>
      <c r="L28" s="7">
        <v>1</v>
      </c>
      <c r="M28" s="7">
        <v>0</v>
      </c>
      <c r="N28" s="8">
        <f>K28/L28*M28</f>
        <v>0</v>
      </c>
      <c r="O28" s="8">
        <f t="shared" si="1"/>
        <v>179.7288888888889</v>
      </c>
      <c r="P28" s="8">
        <f t="shared" si="9"/>
        <v>54.278124444444444</v>
      </c>
      <c r="Q28" s="58">
        <f t="shared" si="2"/>
        <v>183.32346666666666</v>
      </c>
      <c r="R28" s="78">
        <f>14+1.66</f>
        <v>15.66</v>
      </c>
      <c r="S28" s="79">
        <v>15.66</v>
      </c>
      <c r="T28" s="21">
        <f t="shared" si="3"/>
        <v>17.226000000000003</v>
      </c>
      <c r="U28" s="9">
        <f t="shared" si="4"/>
        <v>434.55647999999997</v>
      </c>
      <c r="V28" s="8">
        <f t="shared" si="5"/>
        <v>108.63911999999999</v>
      </c>
      <c r="W28" s="52">
        <f t="shared" si="6"/>
        <v>543.1956</v>
      </c>
      <c r="X28" s="22"/>
      <c r="Y28" s="7"/>
      <c r="Z28" s="20">
        <v>321</v>
      </c>
      <c r="AA28" s="4">
        <v>245</v>
      </c>
      <c r="AB28" s="4">
        <v>350</v>
      </c>
      <c r="AC28" s="14">
        <f t="shared" si="7"/>
        <v>121.71248979591834</v>
      </c>
      <c r="AD28" s="56">
        <v>464.0962675324676</v>
      </c>
      <c r="AE28" s="17">
        <f t="shared" si="8"/>
        <v>1.1704373381154132</v>
      </c>
    </row>
    <row r="29" spans="1:31" ht="15">
      <c r="A29" s="46" t="s">
        <v>473</v>
      </c>
      <c r="B29" s="31" t="s">
        <v>300</v>
      </c>
      <c r="C29" s="7">
        <v>572624</v>
      </c>
      <c r="D29" s="7">
        <v>1650</v>
      </c>
      <c r="E29" s="7">
        <v>60</v>
      </c>
      <c r="F29" s="8">
        <f>C29/D29/60*E29</f>
        <v>347.0448484848485</v>
      </c>
      <c r="G29" s="16"/>
      <c r="H29" s="7"/>
      <c r="I29" s="7"/>
      <c r="J29" s="8"/>
      <c r="K29" s="7"/>
      <c r="L29" s="7"/>
      <c r="M29" s="7">
        <v>0</v>
      </c>
      <c r="N29" s="8"/>
      <c r="O29" s="8">
        <f t="shared" si="1"/>
        <v>347.0448484848485</v>
      </c>
      <c r="P29" s="8">
        <f t="shared" si="9"/>
        <v>104.80754424242424</v>
      </c>
      <c r="Q29" s="58">
        <f t="shared" si="2"/>
        <v>353.98574545454545</v>
      </c>
      <c r="R29" s="78">
        <f>R28+40</f>
        <v>55.66</v>
      </c>
      <c r="S29" s="79">
        <v>55.66</v>
      </c>
      <c r="T29" s="21">
        <f t="shared" si="3"/>
        <v>61.226</v>
      </c>
      <c r="U29" s="9">
        <f t="shared" si="4"/>
        <v>867.0641381818182</v>
      </c>
      <c r="V29" s="8">
        <f t="shared" si="5"/>
        <v>216.76603454545454</v>
      </c>
      <c r="W29" s="52">
        <f t="shared" si="6"/>
        <v>1083.8301727272728</v>
      </c>
      <c r="X29" s="22"/>
      <c r="Y29" s="7"/>
      <c r="Z29" s="20">
        <v>749</v>
      </c>
      <c r="AA29" s="4">
        <v>443</v>
      </c>
      <c r="AB29" s="4">
        <v>1000</v>
      </c>
      <c r="AC29" s="14">
        <f t="shared" si="7"/>
        <v>144.65692386620154</v>
      </c>
      <c r="AD29" s="56">
        <v>870.453909090909</v>
      </c>
      <c r="AE29" s="17">
        <f t="shared" si="8"/>
        <v>1.2451321792089043</v>
      </c>
    </row>
    <row r="30" spans="1:31" ht="15">
      <c r="A30" s="43" t="s">
        <v>474</v>
      </c>
      <c r="B30" s="31" t="s">
        <v>85</v>
      </c>
      <c r="C30" s="25">
        <v>572624</v>
      </c>
      <c r="D30" s="7">
        <v>1925</v>
      </c>
      <c r="E30" s="7">
        <v>22</v>
      </c>
      <c r="F30" s="8">
        <f>C30/D30/60*E30</f>
        <v>109.0712380952381</v>
      </c>
      <c r="G30" s="37">
        <v>389340</v>
      </c>
      <c r="H30" s="7">
        <v>1925</v>
      </c>
      <c r="I30" s="7">
        <v>20</v>
      </c>
      <c r="J30" s="8">
        <f>G30/H30/60*I30</f>
        <v>67.41818181818181</v>
      </c>
      <c r="K30" s="7">
        <f>K8+3300</f>
        <v>8430</v>
      </c>
      <c r="L30" s="7">
        <v>846720</v>
      </c>
      <c r="M30" s="7">
        <v>10</v>
      </c>
      <c r="N30" s="8">
        <f>K30/L30*M30</f>
        <v>0.09956065759637188</v>
      </c>
      <c r="O30" s="8">
        <f t="shared" si="1"/>
        <v>176.5889805710163</v>
      </c>
      <c r="P30" s="8">
        <f t="shared" si="9"/>
        <v>53.329872132446916</v>
      </c>
      <c r="Q30" s="58">
        <f t="shared" si="2"/>
        <v>180.1207601824366</v>
      </c>
      <c r="R30" s="78">
        <f>13.64+1.66</f>
        <v>15.3</v>
      </c>
      <c r="S30" s="79">
        <v>15.3</v>
      </c>
      <c r="T30" s="21">
        <f t="shared" si="3"/>
        <v>16.830000000000002</v>
      </c>
      <c r="U30" s="9">
        <f t="shared" si="4"/>
        <v>426.9691735434962</v>
      </c>
      <c r="V30" s="8">
        <f>U30*25%</f>
        <v>106.74229338587405</v>
      </c>
      <c r="W30" s="52">
        <f t="shared" si="6"/>
        <v>533.7114669293702</v>
      </c>
      <c r="X30" s="22"/>
      <c r="Y30" s="7"/>
      <c r="Z30" s="20">
        <v>418</v>
      </c>
      <c r="AA30" s="4">
        <v>376</v>
      </c>
      <c r="AC30" s="14">
        <f t="shared" si="7"/>
        <v>41.944539076960154</v>
      </c>
      <c r="AD30" s="56">
        <v>461.4349284878119</v>
      </c>
      <c r="AE30" s="17">
        <f t="shared" si="8"/>
        <v>1.1566343030823845</v>
      </c>
    </row>
    <row r="31" spans="1:31" ht="15">
      <c r="A31" s="46" t="s">
        <v>475</v>
      </c>
      <c r="B31" s="31" t="s">
        <v>131</v>
      </c>
      <c r="C31" s="25">
        <v>572624</v>
      </c>
      <c r="D31" s="7">
        <v>1650</v>
      </c>
      <c r="E31" s="7">
        <v>23</v>
      </c>
      <c r="F31" s="8">
        <f>C31/D31/60*E31</f>
        <v>133.03385858585858</v>
      </c>
      <c r="G31" s="37">
        <v>389340</v>
      </c>
      <c r="H31" s="7">
        <v>1925</v>
      </c>
      <c r="I31" s="7">
        <v>23</v>
      </c>
      <c r="J31" s="8">
        <f>G31/H31/60*I31</f>
        <v>77.53090909090909</v>
      </c>
      <c r="K31" s="7">
        <v>0</v>
      </c>
      <c r="L31" s="7">
        <v>1</v>
      </c>
      <c r="M31" s="7">
        <v>0</v>
      </c>
      <c r="N31" s="8">
        <f>K31/L31/60*M31</f>
        <v>0</v>
      </c>
      <c r="O31" s="8">
        <f t="shared" si="1"/>
        <v>210.56476767676767</v>
      </c>
      <c r="P31" s="8">
        <f t="shared" si="9"/>
        <v>63.59055983838383</v>
      </c>
      <c r="Q31" s="58">
        <f t="shared" si="2"/>
        <v>214.77606303030302</v>
      </c>
      <c r="R31" s="78">
        <f>7.38+13.64</f>
        <v>21.02</v>
      </c>
      <c r="S31" s="79">
        <v>21.02</v>
      </c>
      <c r="T31" s="21">
        <f t="shared" si="3"/>
        <v>23.122</v>
      </c>
      <c r="U31" s="9">
        <f t="shared" si="4"/>
        <v>512.0533905454545</v>
      </c>
      <c r="V31" s="8">
        <f>U31*25%</f>
        <v>128.01334763636362</v>
      </c>
      <c r="W31" s="52">
        <f t="shared" si="6"/>
        <v>640.0667381818181</v>
      </c>
      <c r="X31" s="22"/>
      <c r="Y31" s="7"/>
      <c r="Z31" s="20">
        <v>474</v>
      </c>
      <c r="AA31" s="4">
        <v>245</v>
      </c>
      <c r="AC31" s="14">
        <f t="shared" si="7"/>
        <v>161.25172987012985</v>
      </c>
      <c r="AD31" s="56">
        <v>550.8018664935065</v>
      </c>
      <c r="AE31" s="17">
        <f t="shared" si="8"/>
        <v>1.1620634880135503</v>
      </c>
    </row>
    <row r="32" spans="1:31" ht="15">
      <c r="A32" s="43" t="s">
        <v>476</v>
      </c>
      <c r="B32" s="31" t="s">
        <v>351</v>
      </c>
      <c r="C32" s="7">
        <f>'[4]ЧЕРНОВИК'!$R$48</f>
        <v>397648</v>
      </c>
      <c r="D32" s="7">
        <v>144</v>
      </c>
      <c r="E32" s="7">
        <v>17</v>
      </c>
      <c r="F32" s="8">
        <f>C32/D32/60*E32</f>
        <v>782.4092592592592</v>
      </c>
      <c r="G32" s="37">
        <v>389340</v>
      </c>
      <c r="H32" s="7">
        <v>1925</v>
      </c>
      <c r="I32" s="7">
        <v>5</v>
      </c>
      <c r="J32" s="8">
        <f t="shared" si="10"/>
        <v>16.854545454545452</v>
      </c>
      <c r="K32" s="7">
        <f>14726.4+5700+3800+3900</f>
        <v>28126.4</v>
      </c>
      <c r="L32" s="7">
        <v>846720</v>
      </c>
      <c r="M32" s="7">
        <v>2</v>
      </c>
      <c r="N32" s="8">
        <f>K32/L32*M32</f>
        <v>0.06643613000755859</v>
      </c>
      <c r="O32" s="8">
        <f t="shared" si="1"/>
        <v>799.3302408438122</v>
      </c>
      <c r="P32" s="8">
        <f t="shared" si="9"/>
        <v>241.3977327348313</v>
      </c>
      <c r="Q32" s="58">
        <f t="shared" si="2"/>
        <v>815.3168456606885</v>
      </c>
      <c r="R32" s="78">
        <f>13.64+7.38</f>
        <v>21.02</v>
      </c>
      <c r="S32" s="79">
        <v>21.02</v>
      </c>
      <c r="T32" s="21">
        <f>S32*1.01</f>
        <v>21.2302</v>
      </c>
      <c r="U32" s="9">
        <f t="shared" si="4"/>
        <v>1877.3414553693397</v>
      </c>
      <c r="V32" s="8">
        <f t="shared" si="5"/>
        <v>469.3353638423349</v>
      </c>
      <c r="W32" s="52">
        <f t="shared" si="6"/>
        <v>2346.6768192116747</v>
      </c>
      <c r="X32" s="22"/>
      <c r="Y32" s="7">
        <v>2000</v>
      </c>
      <c r="Z32" s="20">
        <v>1640</v>
      </c>
      <c r="AA32" s="4">
        <v>2940</v>
      </c>
      <c r="AB32" s="4" t="s">
        <v>294</v>
      </c>
      <c r="AC32" s="14">
        <f t="shared" si="7"/>
        <v>-20.181060571031466</v>
      </c>
      <c r="AD32" s="56">
        <v>2044.5289315233629</v>
      </c>
      <c r="AE32" s="17">
        <f t="shared" si="8"/>
        <v>1.1477836204857144</v>
      </c>
    </row>
    <row r="33" spans="1:31" ht="15">
      <c r="A33" s="43" t="s">
        <v>477</v>
      </c>
      <c r="B33" s="31" t="s">
        <v>100</v>
      </c>
      <c r="C33" s="7">
        <f>'[4]ЧЕРНОВИК'!$R$49</f>
        <v>348040</v>
      </c>
      <c r="D33" s="7">
        <v>144</v>
      </c>
      <c r="E33" s="7">
        <v>14</v>
      </c>
      <c r="F33" s="8">
        <f>C33/D33/60*E33</f>
        <v>563.9537037037037</v>
      </c>
      <c r="G33" s="37">
        <v>389340</v>
      </c>
      <c r="H33" s="7">
        <v>1925</v>
      </c>
      <c r="I33" s="7">
        <v>6</v>
      </c>
      <c r="J33" s="8">
        <f t="shared" si="10"/>
        <v>20.225454545454543</v>
      </c>
      <c r="K33" s="7">
        <f>14726.4+5700+3800+3900</f>
        <v>28126.4</v>
      </c>
      <c r="L33" s="7">
        <v>846720</v>
      </c>
      <c r="M33" s="7">
        <v>10</v>
      </c>
      <c r="N33" s="8">
        <f aca="true" t="shared" si="11" ref="N33:N82">K33/L33*M33</f>
        <v>0.33218065003779296</v>
      </c>
      <c r="O33" s="8">
        <f t="shared" si="1"/>
        <v>584.5113388991961</v>
      </c>
      <c r="P33" s="8">
        <f t="shared" si="9"/>
        <v>176.5224243475572</v>
      </c>
      <c r="Q33" s="58">
        <f t="shared" si="2"/>
        <v>596.20156567718</v>
      </c>
      <c r="R33" s="78">
        <f>13.64+7.38</f>
        <v>21.02</v>
      </c>
      <c r="S33" s="79">
        <v>21.02</v>
      </c>
      <c r="T33" s="21">
        <f>S33*1.01</f>
        <v>21.2302</v>
      </c>
      <c r="U33" s="9">
        <f t="shared" si="4"/>
        <v>1378.7977095739711</v>
      </c>
      <c r="V33" s="8">
        <f t="shared" si="5"/>
        <v>344.6994273934928</v>
      </c>
      <c r="W33" s="52">
        <f t="shared" si="6"/>
        <v>1723.497136967464</v>
      </c>
      <c r="X33" s="22"/>
      <c r="Y33" s="7">
        <v>1500</v>
      </c>
      <c r="Z33" s="20">
        <v>1091</v>
      </c>
      <c r="AA33" s="4">
        <v>2059</v>
      </c>
      <c r="AB33" s="4" t="s">
        <v>295</v>
      </c>
      <c r="AC33" s="14">
        <f t="shared" si="7"/>
        <v>-16.294456679579213</v>
      </c>
      <c r="AD33" s="56">
        <v>1501.7152826168144</v>
      </c>
      <c r="AE33" s="17">
        <f t="shared" si="8"/>
        <v>1.147685687771775</v>
      </c>
    </row>
    <row r="34" spans="1:31" ht="15">
      <c r="A34" s="46" t="s">
        <v>478</v>
      </c>
      <c r="B34" s="31" t="s">
        <v>37</v>
      </c>
      <c r="C34" s="7">
        <v>572624</v>
      </c>
      <c r="D34" s="7">
        <v>1925</v>
      </c>
      <c r="E34" s="7">
        <v>35</v>
      </c>
      <c r="F34" s="8">
        <f t="shared" si="0"/>
        <v>173.52242424242425</v>
      </c>
      <c r="G34" s="37">
        <v>389340</v>
      </c>
      <c r="H34" s="7">
        <v>1925</v>
      </c>
      <c r="I34" s="7">
        <v>30</v>
      </c>
      <c r="J34" s="8">
        <f t="shared" si="10"/>
        <v>101.12727272727273</v>
      </c>
      <c r="K34" s="7">
        <f>'[2]Лист1'!$O$436+450</f>
        <v>5130</v>
      </c>
      <c r="L34" s="7">
        <v>846720</v>
      </c>
      <c r="M34" s="7">
        <v>30</v>
      </c>
      <c r="N34" s="8">
        <f t="shared" si="11"/>
        <v>0.18176020408163265</v>
      </c>
      <c r="O34" s="8">
        <f t="shared" si="1"/>
        <v>274.8314571737786</v>
      </c>
      <c r="P34" s="8">
        <f t="shared" si="9"/>
        <v>82.99910006648113</v>
      </c>
      <c r="Q34" s="58">
        <f t="shared" si="2"/>
        <v>280.32808631725413</v>
      </c>
      <c r="R34" s="78">
        <f>13.64+7.38</f>
        <v>21.02</v>
      </c>
      <c r="S34" s="79">
        <v>21.02</v>
      </c>
      <c r="T34" s="21">
        <f t="shared" si="3"/>
        <v>23.122</v>
      </c>
      <c r="U34" s="9">
        <f t="shared" si="4"/>
        <v>661.4624037615954</v>
      </c>
      <c r="V34" s="8">
        <f t="shared" si="5"/>
        <v>165.36560094039885</v>
      </c>
      <c r="W34" s="52">
        <f t="shared" si="6"/>
        <v>826.8280047019942</v>
      </c>
      <c r="X34" s="22"/>
      <c r="Y34" s="7">
        <v>800</v>
      </c>
      <c r="Z34" s="20">
        <v>426</v>
      </c>
      <c r="AA34" s="4">
        <v>352</v>
      </c>
      <c r="AB34" s="4" t="s">
        <v>296</v>
      </c>
      <c r="AC34" s="14">
        <f t="shared" si="7"/>
        <v>134.894319517612</v>
      </c>
      <c r="AD34" s="56">
        <v>709.3286517149813</v>
      </c>
      <c r="AE34" s="17">
        <f t="shared" si="8"/>
        <v>1.1656486773837889</v>
      </c>
    </row>
    <row r="35" spans="1:31" ht="30">
      <c r="A35" s="43" t="s">
        <v>479</v>
      </c>
      <c r="B35" s="31" t="s">
        <v>420</v>
      </c>
      <c r="C35" s="25">
        <v>572624</v>
      </c>
      <c r="D35" s="7">
        <v>1650</v>
      </c>
      <c r="E35" s="7">
        <v>45</v>
      </c>
      <c r="F35" s="8">
        <f>C35/D35/60*E35</f>
        <v>260.28363636363633</v>
      </c>
      <c r="G35" s="37">
        <v>389340</v>
      </c>
      <c r="H35" s="7">
        <v>1925</v>
      </c>
      <c r="I35" s="7">
        <v>5</v>
      </c>
      <c r="J35" s="8">
        <f>G35/H35/60*I35</f>
        <v>16.854545454545452</v>
      </c>
      <c r="K35" s="7">
        <f>K8+3300</f>
        <v>8430</v>
      </c>
      <c r="L35" s="7">
        <v>846720</v>
      </c>
      <c r="M35" s="7">
        <v>10</v>
      </c>
      <c r="N35" s="8">
        <f>K35/L35*M35</f>
        <v>0.09956065759637188</v>
      </c>
      <c r="O35" s="8">
        <f t="shared" si="1"/>
        <v>277.2377424757782</v>
      </c>
      <c r="P35" s="8">
        <f t="shared" si="9"/>
        <v>83.725798227685</v>
      </c>
      <c r="Q35" s="58">
        <f t="shared" si="2"/>
        <v>282.7824973252938</v>
      </c>
      <c r="R35" s="78">
        <f>13.64+7.38</f>
        <v>21.02</v>
      </c>
      <c r="S35" s="79">
        <v>21.02</v>
      </c>
      <c r="T35" s="21">
        <f t="shared" si="3"/>
        <v>23.122</v>
      </c>
      <c r="U35" s="9">
        <f t="shared" si="4"/>
        <v>666.9675986863533</v>
      </c>
      <c r="V35" s="8">
        <f>U35*25%</f>
        <v>166.74189967158833</v>
      </c>
      <c r="W35" s="52">
        <f t="shared" si="6"/>
        <v>833.7094983579416</v>
      </c>
      <c r="X35" s="22"/>
      <c r="Y35" s="7"/>
      <c r="Z35" s="20">
        <v>645</v>
      </c>
      <c r="AA35" s="4">
        <v>558</v>
      </c>
      <c r="AB35" s="4" t="s">
        <v>297</v>
      </c>
      <c r="AC35" s="14">
        <f t="shared" si="7"/>
        <v>49.410304365222515</v>
      </c>
      <c r="AD35" s="56">
        <v>595.7085648514482</v>
      </c>
      <c r="AE35" s="17">
        <f t="shared" si="8"/>
        <v>1.3995257875230378</v>
      </c>
    </row>
    <row r="36" spans="1:31" ht="30">
      <c r="A36" s="43" t="s">
        <v>480</v>
      </c>
      <c r="B36" s="31" t="s">
        <v>421</v>
      </c>
      <c r="C36" s="7">
        <v>572624</v>
      </c>
      <c r="D36" s="7">
        <v>1650</v>
      </c>
      <c r="E36" s="7">
        <v>60</v>
      </c>
      <c r="F36" s="8">
        <f>C36/D36/60*E36</f>
        <v>347.0448484848485</v>
      </c>
      <c r="G36" s="37">
        <v>389340</v>
      </c>
      <c r="H36" s="7">
        <v>1925</v>
      </c>
      <c r="I36" s="7">
        <v>5</v>
      </c>
      <c r="J36" s="8">
        <f>G36/H36/60*I36</f>
        <v>16.854545454545452</v>
      </c>
      <c r="K36" s="7">
        <v>0</v>
      </c>
      <c r="L36" s="7">
        <v>1</v>
      </c>
      <c r="M36" s="7">
        <v>0</v>
      </c>
      <c r="N36" s="8">
        <f t="shared" si="11"/>
        <v>0</v>
      </c>
      <c r="O36" s="8">
        <f t="shared" si="1"/>
        <v>363.899393939394</v>
      </c>
      <c r="P36" s="8">
        <f t="shared" si="9"/>
        <v>109.89761696969698</v>
      </c>
      <c r="Q36" s="58">
        <f t="shared" si="2"/>
        <v>371.17738181818186</v>
      </c>
      <c r="R36" s="78">
        <f>R35+40</f>
        <v>61.019999999999996</v>
      </c>
      <c r="S36" s="79">
        <v>61.019999999999996</v>
      </c>
      <c r="T36" s="21">
        <f>S36*1.1</f>
        <v>67.122</v>
      </c>
      <c r="U36" s="9">
        <f t="shared" si="4"/>
        <v>912.0963927272727</v>
      </c>
      <c r="V36" s="8">
        <f>U36*25%</f>
        <v>228.02409818181818</v>
      </c>
      <c r="W36" s="52">
        <f t="shared" si="6"/>
        <v>1140.120490909091</v>
      </c>
      <c r="X36" s="22"/>
      <c r="Y36" s="7"/>
      <c r="Z36" s="20">
        <v>872</v>
      </c>
      <c r="AA36" s="4">
        <v>773</v>
      </c>
      <c r="AB36" s="4" t="s">
        <v>298</v>
      </c>
      <c r="AC36" s="14">
        <f t="shared" si="7"/>
        <v>47.49294837116312</v>
      </c>
      <c r="AD36" s="56">
        <v>698.7693584415583</v>
      </c>
      <c r="AE36" s="17">
        <f t="shared" si="8"/>
        <v>1.6316120292564962</v>
      </c>
    </row>
    <row r="37" spans="1:29" ht="15" customHeight="1">
      <c r="A37" s="43"/>
      <c r="B37" s="102" t="s">
        <v>340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05"/>
      <c r="T37" s="103"/>
      <c r="U37" s="103"/>
      <c r="V37" s="103"/>
      <c r="W37" s="106"/>
      <c r="X37" s="23"/>
      <c r="Y37" s="21"/>
      <c r="Z37" s="20"/>
      <c r="AC37" s="14"/>
    </row>
    <row r="38" spans="1:31" ht="75.75" customHeight="1">
      <c r="A38" s="43" t="s">
        <v>481</v>
      </c>
      <c r="B38" s="31" t="s">
        <v>427</v>
      </c>
      <c r="C38" s="7">
        <v>572624</v>
      </c>
      <c r="D38" s="7">
        <v>1650</v>
      </c>
      <c r="E38" s="7">
        <v>6</v>
      </c>
      <c r="F38" s="8">
        <f>C38/D38/60*E38</f>
        <v>34.704484848484846</v>
      </c>
      <c r="G38" s="37">
        <v>389340</v>
      </c>
      <c r="H38" s="7">
        <v>1925</v>
      </c>
      <c r="I38" s="7">
        <v>4</v>
      </c>
      <c r="J38" s="8">
        <f aca="true" t="shared" si="12" ref="J38:J43">G38/H38/60*I38</f>
        <v>13.483636363636363</v>
      </c>
      <c r="K38" s="7">
        <v>0</v>
      </c>
      <c r="L38" s="7">
        <v>1</v>
      </c>
      <c r="M38" s="7">
        <v>0</v>
      </c>
      <c r="N38" s="8">
        <f t="shared" si="11"/>
        <v>0</v>
      </c>
      <c r="O38" s="8">
        <f aca="true" t="shared" si="13" ref="O38:O43">F38+J38+N38</f>
        <v>48.18812121212121</v>
      </c>
      <c r="P38" s="8">
        <f aca="true" t="shared" si="14" ref="P38:P43">O38*0.302</f>
        <v>14.552812606060606</v>
      </c>
      <c r="Q38" s="58">
        <f aca="true" t="shared" si="15" ref="Q38:Q43">(O38)*102%</f>
        <v>49.151883636363635</v>
      </c>
      <c r="R38" s="78">
        <f>14+13.64+1.66</f>
        <v>29.3</v>
      </c>
      <c r="S38" s="76">
        <v>29.3</v>
      </c>
      <c r="T38" s="21">
        <f aca="true" t="shared" si="16" ref="T38:T43">S38*1.05</f>
        <v>30.765</v>
      </c>
      <c r="U38" s="9">
        <f t="shared" si="4"/>
        <v>142.65781745454547</v>
      </c>
      <c r="V38" s="8">
        <f t="shared" si="5"/>
        <v>35.66445436363637</v>
      </c>
      <c r="W38" s="52">
        <f aca="true" t="shared" si="17" ref="W38:W43">U38+V38</f>
        <v>178.32227181818183</v>
      </c>
      <c r="X38" s="22"/>
      <c r="Y38" s="7"/>
      <c r="Z38" s="20">
        <v>186</v>
      </c>
      <c r="AA38" s="4">
        <v>150</v>
      </c>
      <c r="AB38" s="4">
        <v>200</v>
      </c>
      <c r="AC38" s="14">
        <f t="shared" si="7"/>
        <v>18.88151454545455</v>
      </c>
      <c r="AD38" s="56">
        <v>161.12387168831168</v>
      </c>
      <c r="AE38" s="17">
        <f t="shared" si="8"/>
        <v>1.1067402362521417</v>
      </c>
    </row>
    <row r="39" spans="1:31" ht="60">
      <c r="A39" s="43" t="s">
        <v>482</v>
      </c>
      <c r="B39" s="31" t="s">
        <v>428</v>
      </c>
      <c r="C39" s="7">
        <v>572624</v>
      </c>
      <c r="D39" s="7">
        <v>1650</v>
      </c>
      <c r="E39" s="7">
        <v>5</v>
      </c>
      <c r="F39" s="8">
        <f>C39/D39/60*E39</f>
        <v>28.92040404040404</v>
      </c>
      <c r="G39" s="37">
        <v>389340</v>
      </c>
      <c r="H39" s="7">
        <v>1925</v>
      </c>
      <c r="I39" s="7">
        <v>2</v>
      </c>
      <c r="J39" s="8">
        <f t="shared" si="12"/>
        <v>6.741818181818181</v>
      </c>
      <c r="K39" s="7">
        <v>0</v>
      </c>
      <c r="L39" s="7">
        <v>1</v>
      </c>
      <c r="M39" s="7">
        <v>0</v>
      </c>
      <c r="N39" s="8">
        <f t="shared" si="11"/>
        <v>0</v>
      </c>
      <c r="O39" s="8">
        <f t="shared" si="13"/>
        <v>35.66222222222222</v>
      </c>
      <c r="P39" s="8">
        <f t="shared" si="14"/>
        <v>10.76999111111111</v>
      </c>
      <c r="Q39" s="58">
        <f t="shared" si="15"/>
        <v>36.37546666666666</v>
      </c>
      <c r="R39" s="78">
        <f>14+13.64+1.66</f>
        <v>29.3</v>
      </c>
      <c r="S39" s="76">
        <v>29.3</v>
      </c>
      <c r="T39" s="21">
        <f t="shared" si="16"/>
        <v>30.765</v>
      </c>
      <c r="U39" s="9">
        <f t="shared" si="4"/>
        <v>113.57267999999999</v>
      </c>
      <c r="V39" s="8">
        <f t="shared" si="5"/>
        <v>28.393169999999998</v>
      </c>
      <c r="W39" s="52">
        <f t="shared" si="17"/>
        <v>141.96585</v>
      </c>
      <c r="X39" s="22"/>
      <c r="Y39" s="7"/>
      <c r="Z39" s="20">
        <v>163</v>
      </c>
      <c r="AA39" s="4">
        <v>135</v>
      </c>
      <c r="AB39" s="4" t="s">
        <v>301</v>
      </c>
      <c r="AC39" s="14">
        <f t="shared" si="7"/>
        <v>5.1598888888888865</v>
      </c>
      <c r="AD39" s="56">
        <v>129.1216321038961</v>
      </c>
      <c r="AE39" s="17">
        <f t="shared" si="8"/>
        <v>1.099473788294195</v>
      </c>
    </row>
    <row r="40" spans="1:31" ht="30">
      <c r="A40" s="43" t="s">
        <v>483</v>
      </c>
      <c r="B40" s="31" t="s">
        <v>337</v>
      </c>
      <c r="C40" s="7">
        <v>572624</v>
      </c>
      <c r="D40" s="7">
        <v>1650</v>
      </c>
      <c r="E40" s="7">
        <v>15</v>
      </c>
      <c r="F40" s="8">
        <f>C40/D40/60*E40</f>
        <v>86.76121212121213</v>
      </c>
      <c r="G40" s="37">
        <v>389340</v>
      </c>
      <c r="H40" s="7">
        <v>1925</v>
      </c>
      <c r="I40" s="7">
        <v>11</v>
      </c>
      <c r="J40" s="8">
        <f t="shared" si="12"/>
        <v>37.08</v>
      </c>
      <c r="K40" s="7">
        <f>'[1]мед. оборудование'!$H$9+'[1]мед. оборудование'!$H$584+'[1]мед. оборудование'!$H$307</f>
        <v>299368.25</v>
      </c>
      <c r="L40" s="7">
        <v>846720</v>
      </c>
      <c r="M40" s="7">
        <v>11</v>
      </c>
      <c r="N40" s="8">
        <f t="shared" si="11"/>
        <v>3.8891850316515497</v>
      </c>
      <c r="O40" s="8">
        <f t="shared" si="13"/>
        <v>127.73039715286367</v>
      </c>
      <c r="P40" s="8">
        <f t="shared" si="14"/>
        <v>38.57457994016483</v>
      </c>
      <c r="Q40" s="58">
        <f t="shared" si="15"/>
        <v>130.28500509592095</v>
      </c>
      <c r="R40" s="78">
        <f>1.635*2+0.83*6</f>
        <v>8.25</v>
      </c>
      <c r="S40" s="76">
        <v>8.25</v>
      </c>
      <c r="T40" s="21">
        <f t="shared" si="16"/>
        <v>8.6625</v>
      </c>
      <c r="U40" s="9">
        <f t="shared" si="4"/>
        <v>309.141667220601</v>
      </c>
      <c r="V40" s="8">
        <f>U40*25%</f>
        <v>77.28541680515025</v>
      </c>
      <c r="W40" s="52">
        <f>U40+V40</f>
        <v>386.42708402575124</v>
      </c>
      <c r="X40" s="22">
        <v>350</v>
      </c>
      <c r="Y40" s="7"/>
      <c r="Z40" s="20">
        <v>350</v>
      </c>
      <c r="AB40" s="4">
        <v>400</v>
      </c>
      <c r="AC40" s="14"/>
      <c r="AD40" s="56">
        <v>350.0771152854915</v>
      </c>
      <c r="AE40" s="17">
        <f t="shared" si="8"/>
        <v>1.1038341758232781</v>
      </c>
    </row>
    <row r="41" spans="1:31" ht="15">
      <c r="A41" s="43" t="s">
        <v>484</v>
      </c>
      <c r="B41" s="31" t="s">
        <v>113</v>
      </c>
      <c r="C41" s="7"/>
      <c r="D41" s="7"/>
      <c r="E41" s="7"/>
      <c r="F41" s="8"/>
      <c r="G41" s="37">
        <v>389340</v>
      </c>
      <c r="H41" s="7">
        <v>1925</v>
      </c>
      <c r="I41" s="7">
        <v>9</v>
      </c>
      <c r="J41" s="8">
        <f t="shared" si="12"/>
        <v>30.338181818181816</v>
      </c>
      <c r="K41" s="7">
        <f>K8+'[2]Лист1'!$O$481</f>
        <v>12340</v>
      </c>
      <c r="L41" s="7">
        <v>846720</v>
      </c>
      <c r="M41" s="7">
        <v>10</v>
      </c>
      <c r="N41" s="8">
        <f t="shared" si="11"/>
        <v>0.14573885109599397</v>
      </c>
      <c r="O41" s="8">
        <f t="shared" si="13"/>
        <v>30.48392066927781</v>
      </c>
      <c r="P41" s="8">
        <f t="shared" si="14"/>
        <v>9.206144042121899</v>
      </c>
      <c r="Q41" s="58">
        <f t="shared" si="15"/>
        <v>31.093599082663367</v>
      </c>
      <c r="R41" s="78">
        <f>0.83*3+1.99</f>
        <v>4.4799999999999995</v>
      </c>
      <c r="S41" s="76">
        <v>4.4799999999999995</v>
      </c>
      <c r="T41" s="21">
        <f t="shared" si="16"/>
        <v>4.704</v>
      </c>
      <c r="U41" s="9">
        <f t="shared" si="4"/>
        <v>75.63340264515907</v>
      </c>
      <c r="V41" s="8">
        <f t="shared" si="5"/>
        <v>18.908350661289766</v>
      </c>
      <c r="W41" s="52">
        <f t="shared" si="17"/>
        <v>94.54175330644884</v>
      </c>
      <c r="X41" s="22"/>
      <c r="Y41" s="7"/>
      <c r="Z41" s="20">
        <v>84</v>
      </c>
      <c r="AA41" s="4">
        <v>57</v>
      </c>
      <c r="AC41" s="14">
        <f t="shared" si="7"/>
        <v>65.86272509903307</v>
      </c>
      <c r="AD41" s="56">
        <v>84.33229829346183</v>
      </c>
      <c r="AE41" s="17">
        <f t="shared" si="8"/>
        <v>1.1210622172001037</v>
      </c>
    </row>
    <row r="42" spans="1:31" ht="45">
      <c r="A42" s="43" t="s">
        <v>485</v>
      </c>
      <c r="B42" s="32" t="s">
        <v>397</v>
      </c>
      <c r="C42" s="7">
        <v>572624</v>
      </c>
      <c r="D42" s="7">
        <v>1650</v>
      </c>
      <c r="E42" s="25">
        <v>60</v>
      </c>
      <c r="F42" s="8">
        <f>C42/D42/60*E42</f>
        <v>347.0448484848485</v>
      </c>
      <c r="G42" s="37">
        <v>389340</v>
      </c>
      <c r="H42" s="7">
        <v>1925</v>
      </c>
      <c r="I42" s="25">
        <v>7</v>
      </c>
      <c r="J42" s="9">
        <f t="shared" si="12"/>
        <v>23.596363636363634</v>
      </c>
      <c r="K42" s="7">
        <f>K8</f>
        <v>5130</v>
      </c>
      <c r="L42" s="7">
        <v>846720</v>
      </c>
      <c r="M42" s="25">
        <v>20</v>
      </c>
      <c r="N42" s="8">
        <f t="shared" si="11"/>
        <v>0.1211734693877551</v>
      </c>
      <c r="O42" s="8">
        <f t="shared" si="13"/>
        <v>370.7623855905999</v>
      </c>
      <c r="P42" s="8">
        <f t="shared" si="14"/>
        <v>111.97024044836115</v>
      </c>
      <c r="Q42" s="58">
        <f t="shared" si="15"/>
        <v>378.1776333024119</v>
      </c>
      <c r="R42" s="78">
        <f>7.38+1.66</f>
        <v>9.04</v>
      </c>
      <c r="S42" s="76">
        <v>9.04</v>
      </c>
      <c r="T42" s="21">
        <f t="shared" si="16"/>
        <v>9.491999999999999</v>
      </c>
      <c r="U42" s="9">
        <f t="shared" si="4"/>
        <v>870.5234328107606</v>
      </c>
      <c r="V42" s="8">
        <f t="shared" si="5"/>
        <v>217.63085820269015</v>
      </c>
      <c r="W42" s="52">
        <f t="shared" si="17"/>
        <v>1088.1542910134508</v>
      </c>
      <c r="X42" s="22"/>
      <c r="Y42" s="7"/>
      <c r="Z42" s="20">
        <v>822</v>
      </c>
      <c r="AA42" s="4">
        <v>739</v>
      </c>
      <c r="AC42" s="14">
        <f t="shared" si="7"/>
        <v>47.24685940642095</v>
      </c>
      <c r="AD42" s="56">
        <v>926.6542855589055</v>
      </c>
      <c r="AE42" s="17">
        <f t="shared" si="8"/>
        <v>1.174282910003635</v>
      </c>
    </row>
    <row r="43" spans="1:31" ht="45">
      <c r="A43" s="43" t="s">
        <v>486</v>
      </c>
      <c r="B43" s="32" t="s">
        <v>398</v>
      </c>
      <c r="C43" s="7">
        <f>C42*2</f>
        <v>1145248</v>
      </c>
      <c r="D43" s="7">
        <v>1650</v>
      </c>
      <c r="E43" s="25">
        <v>60</v>
      </c>
      <c r="F43" s="8">
        <f>C43/D43/60*E43</f>
        <v>694.089696969697</v>
      </c>
      <c r="G43" s="37">
        <v>389340</v>
      </c>
      <c r="H43" s="7">
        <v>1925</v>
      </c>
      <c r="I43" s="25">
        <v>0</v>
      </c>
      <c r="J43" s="9">
        <f t="shared" si="12"/>
        <v>0</v>
      </c>
      <c r="K43" s="7">
        <f>K9</f>
        <v>0</v>
      </c>
      <c r="L43" s="7">
        <v>846720</v>
      </c>
      <c r="M43" s="25">
        <v>20</v>
      </c>
      <c r="N43" s="8">
        <f t="shared" si="11"/>
        <v>0</v>
      </c>
      <c r="O43" s="8">
        <f t="shared" si="13"/>
        <v>694.089696969697</v>
      </c>
      <c r="P43" s="8">
        <f t="shared" si="14"/>
        <v>209.61508848484848</v>
      </c>
      <c r="Q43" s="58">
        <f t="shared" si="15"/>
        <v>707.9714909090909</v>
      </c>
      <c r="R43" s="78">
        <f>7.38+1.66</f>
        <v>9.04</v>
      </c>
      <c r="S43" s="79">
        <v>9.04</v>
      </c>
      <c r="T43" s="21">
        <f t="shared" si="16"/>
        <v>9.491999999999999</v>
      </c>
      <c r="U43" s="9">
        <f>N43+O43+P43+Q43+T43</f>
        <v>1621.1682763636363</v>
      </c>
      <c r="V43" s="8">
        <f t="shared" si="5"/>
        <v>405.2920690909091</v>
      </c>
      <c r="W43" s="52">
        <f t="shared" si="17"/>
        <v>2026.4603454545454</v>
      </c>
      <c r="X43" s="22"/>
      <c r="Y43" s="7"/>
      <c r="Z43" s="20">
        <v>1280</v>
      </c>
      <c r="AA43" s="4">
        <v>1169</v>
      </c>
      <c r="AC43" s="14">
        <f t="shared" si="7"/>
        <v>73.34990123648805</v>
      </c>
      <c r="AD43" s="56">
        <v>1343.829658181818</v>
      </c>
      <c r="AE43" s="17">
        <f t="shared" si="8"/>
        <v>1.507974119425461</v>
      </c>
    </row>
    <row r="44" spans="1:31" s="6" customFormat="1" ht="15">
      <c r="A44" s="43"/>
      <c r="B44" s="85" t="s">
        <v>133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7"/>
      <c r="T44" s="86"/>
      <c r="U44" s="86"/>
      <c r="V44" s="86"/>
      <c r="W44" s="88"/>
      <c r="X44" s="23"/>
      <c r="Y44" s="21"/>
      <c r="Z44" s="20"/>
      <c r="AA44" s="4"/>
      <c r="AB44" s="4"/>
      <c r="AC44" s="14"/>
      <c r="AD44" s="66"/>
      <c r="AE44" s="17"/>
    </row>
    <row r="45" spans="1:31" ht="15">
      <c r="A45" s="43" t="s">
        <v>487</v>
      </c>
      <c r="B45" s="31" t="s">
        <v>393</v>
      </c>
      <c r="C45" s="7">
        <v>572624</v>
      </c>
      <c r="D45" s="7">
        <v>1650</v>
      </c>
      <c r="E45" s="7">
        <v>3</v>
      </c>
      <c r="F45" s="8">
        <f>C45/D45/60*E45</f>
        <v>17.352242424242423</v>
      </c>
      <c r="G45" s="37">
        <v>389340</v>
      </c>
      <c r="H45" s="7">
        <v>1925</v>
      </c>
      <c r="I45" s="7">
        <v>0</v>
      </c>
      <c r="J45" s="8">
        <f>G45/H45/60*I45</f>
        <v>0</v>
      </c>
      <c r="K45" s="7">
        <v>0</v>
      </c>
      <c r="L45" s="7">
        <v>1</v>
      </c>
      <c r="M45" s="7">
        <v>0</v>
      </c>
      <c r="N45" s="8">
        <f>K45/L45*M45</f>
        <v>0</v>
      </c>
      <c r="O45" s="8">
        <f>F45+J45+N45</f>
        <v>17.352242424242423</v>
      </c>
      <c r="P45" s="8">
        <f>O45*0.342</f>
        <v>5.934466909090909</v>
      </c>
      <c r="Q45" s="58">
        <f>(O45)*102%</f>
        <v>17.699287272727272</v>
      </c>
      <c r="R45" s="78">
        <f>14+12.27*2+18+1.635*2</f>
        <v>59.81</v>
      </c>
      <c r="S45" s="79">
        <v>59.81</v>
      </c>
      <c r="T45" s="21">
        <f>S45*1.1</f>
        <v>65.79100000000001</v>
      </c>
      <c r="U45" s="9">
        <f>N45+O45+P45+Q45+T45</f>
        <v>106.7769966060606</v>
      </c>
      <c r="V45" s="8">
        <f>U45*25%</f>
        <v>26.69424915151515</v>
      </c>
      <c r="W45" s="52">
        <f>U45+V45</f>
        <v>133.47124575757576</v>
      </c>
      <c r="X45" s="22"/>
      <c r="Y45" s="7"/>
      <c r="Z45" s="20">
        <v>632</v>
      </c>
      <c r="AA45" s="4">
        <v>586</v>
      </c>
      <c r="AC45" s="14">
        <f>(100*W45)/AA45-100</f>
        <v>-77.22333690143759</v>
      </c>
      <c r="AD45" s="56">
        <v>122.29834646464646</v>
      </c>
      <c r="AE45" s="17">
        <f t="shared" si="8"/>
        <v>1.09135772981329</v>
      </c>
    </row>
    <row r="46" spans="1:29" ht="15">
      <c r="A46" s="43"/>
      <c r="B46" s="85" t="s">
        <v>134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7"/>
      <c r="T46" s="86"/>
      <c r="U46" s="86"/>
      <c r="V46" s="86"/>
      <c r="W46" s="88"/>
      <c r="X46" s="23"/>
      <c r="Y46" s="21"/>
      <c r="Z46" s="20"/>
      <c r="AC46" s="14"/>
    </row>
    <row r="47" spans="1:31" ht="15">
      <c r="A47" s="43" t="s">
        <v>488</v>
      </c>
      <c r="B47" s="31" t="s">
        <v>445</v>
      </c>
      <c r="C47" s="7">
        <v>572624</v>
      </c>
      <c r="D47" s="7">
        <v>1650</v>
      </c>
      <c r="E47" s="7">
        <v>16</v>
      </c>
      <c r="F47" s="8">
        <f aca="true" t="shared" si="18" ref="F47:F56">C47/D47/60*E47</f>
        <v>92.54529292929293</v>
      </c>
      <c r="G47" s="37">
        <v>389340</v>
      </c>
      <c r="H47" s="7">
        <v>1925</v>
      </c>
      <c r="I47" s="7">
        <v>6</v>
      </c>
      <c r="J47" s="8">
        <f aca="true" t="shared" si="19" ref="J47:J71">G47/H47/60*I47</f>
        <v>20.225454545454543</v>
      </c>
      <c r="K47" s="7">
        <v>0</v>
      </c>
      <c r="L47" s="7">
        <v>1</v>
      </c>
      <c r="M47" s="7">
        <v>0</v>
      </c>
      <c r="N47" s="8">
        <f t="shared" si="11"/>
        <v>0</v>
      </c>
      <c r="O47" s="8">
        <f aca="true" t="shared" si="20" ref="O47:O82">F47+J47+N47</f>
        <v>112.77074747474747</v>
      </c>
      <c r="P47" s="8">
        <f>O47*0.302</f>
        <v>34.05676573737373</v>
      </c>
      <c r="Q47" s="58">
        <f>(O47)*102%</f>
        <v>115.02616242424241</v>
      </c>
      <c r="R47" s="78">
        <f>3.6+1.66+14+13.64</f>
        <v>32.9</v>
      </c>
      <c r="S47" s="79">
        <v>32.9</v>
      </c>
      <c r="T47" s="21">
        <f>S47*1.15</f>
        <v>37.834999999999994</v>
      </c>
      <c r="U47" s="9">
        <f>N47+O47+P47+Q47+T47</f>
        <v>299.6886756363636</v>
      </c>
      <c r="V47" s="8">
        <f t="shared" si="5"/>
        <v>74.9221689090909</v>
      </c>
      <c r="W47" s="52">
        <f aca="true" t="shared" si="21" ref="W47:W82">U47+V47</f>
        <v>374.6108445454545</v>
      </c>
      <c r="X47" s="22">
        <v>321</v>
      </c>
      <c r="Y47" s="7"/>
      <c r="Z47" s="20">
        <v>321</v>
      </c>
      <c r="AA47" s="4">
        <v>315</v>
      </c>
      <c r="AB47" s="4">
        <v>300</v>
      </c>
      <c r="AC47" s="14">
        <f t="shared" si="7"/>
        <v>18.92407763347761</v>
      </c>
      <c r="AD47" s="56">
        <v>325.6350696103896</v>
      </c>
      <c r="AE47" s="17">
        <f t="shared" si="8"/>
        <v>1.1504007998698131</v>
      </c>
    </row>
    <row r="48" spans="1:31" ht="30">
      <c r="A48" s="43" t="s">
        <v>489</v>
      </c>
      <c r="B48" s="31" t="s">
        <v>402</v>
      </c>
      <c r="C48" s="7">
        <v>572624</v>
      </c>
      <c r="D48" s="7">
        <v>1925</v>
      </c>
      <c r="E48" s="7">
        <v>20</v>
      </c>
      <c r="F48" s="8">
        <f>C48/D48/60*E48</f>
        <v>99.155670995671</v>
      </c>
      <c r="G48" s="37">
        <v>389340</v>
      </c>
      <c r="H48" s="7">
        <v>1925</v>
      </c>
      <c r="I48" s="7">
        <v>19</v>
      </c>
      <c r="J48" s="8">
        <f t="shared" si="19"/>
        <v>64.04727272727273</v>
      </c>
      <c r="K48" s="7">
        <v>32116.67</v>
      </c>
      <c r="L48" s="7">
        <v>846720</v>
      </c>
      <c r="M48" s="7">
        <v>25</v>
      </c>
      <c r="N48" s="8">
        <f t="shared" si="11"/>
        <v>0.9482671367157974</v>
      </c>
      <c r="O48" s="8">
        <f t="shared" si="20"/>
        <v>164.15121085965953</v>
      </c>
      <c r="P48" s="8">
        <f aca="true" t="shared" si="22" ref="P48:P82">O48*0.302</f>
        <v>49.57366567961718</v>
      </c>
      <c r="Q48" s="58">
        <f aca="true" t="shared" si="23" ref="Q48:Q83">(O48)*102%</f>
        <v>167.43423507685273</v>
      </c>
      <c r="R48" s="78">
        <v>13.64</v>
      </c>
      <c r="S48" s="76">
        <v>13.64</v>
      </c>
      <c r="T48" s="21">
        <f aca="true" t="shared" si="24" ref="T48:T61">S48*1.15</f>
        <v>15.686</v>
      </c>
      <c r="U48" s="9">
        <f aca="true" t="shared" si="25" ref="U48:U82">N48+O48+P48+Q48+T48</f>
        <v>397.7933787528452</v>
      </c>
      <c r="V48" s="8">
        <f>U48*25%</f>
        <v>99.4483446882113</v>
      </c>
      <c r="W48" s="52">
        <f t="shared" si="21"/>
        <v>497.2417234410565</v>
      </c>
      <c r="X48" s="22"/>
      <c r="Y48" s="7">
        <v>500</v>
      </c>
      <c r="Z48" s="20">
        <v>270</v>
      </c>
      <c r="AB48" s="4">
        <v>250</v>
      </c>
      <c r="AC48" s="14"/>
      <c r="AD48" s="56">
        <v>424.7470912332643</v>
      </c>
      <c r="AE48" s="17">
        <f t="shared" si="8"/>
        <v>1.1706771716724464</v>
      </c>
    </row>
    <row r="49" spans="1:31" ht="30">
      <c r="A49" s="43" t="s">
        <v>490</v>
      </c>
      <c r="B49" s="31" t="s">
        <v>403</v>
      </c>
      <c r="C49" s="7">
        <v>572624</v>
      </c>
      <c r="D49" s="7">
        <v>1925</v>
      </c>
      <c r="E49" s="7">
        <v>18</v>
      </c>
      <c r="F49" s="8">
        <f>C49/D49/60*E49</f>
        <v>89.2401038961039</v>
      </c>
      <c r="G49" s="37">
        <v>389340</v>
      </c>
      <c r="H49" s="7">
        <v>1925</v>
      </c>
      <c r="I49" s="7">
        <v>17</v>
      </c>
      <c r="J49" s="8">
        <f>G49/H49/60*I49</f>
        <v>57.30545454545454</v>
      </c>
      <c r="K49" s="7">
        <v>32116.67</v>
      </c>
      <c r="L49" s="7">
        <v>846720</v>
      </c>
      <c r="M49" s="7">
        <v>10</v>
      </c>
      <c r="N49" s="8">
        <f>K49/L49*M49</f>
        <v>0.379306854686319</v>
      </c>
      <c r="O49" s="8">
        <f>F49+J49+N49</f>
        <v>146.92486529624477</v>
      </c>
      <c r="P49" s="8">
        <f>O49*0.302</f>
        <v>44.37130931946592</v>
      </c>
      <c r="Q49" s="58">
        <f t="shared" si="23"/>
        <v>149.86336260216967</v>
      </c>
      <c r="R49" s="78">
        <v>13.64</v>
      </c>
      <c r="S49" s="76">
        <v>13.64</v>
      </c>
      <c r="T49" s="21">
        <f t="shared" si="24"/>
        <v>15.686</v>
      </c>
      <c r="U49" s="9">
        <f t="shared" si="25"/>
        <v>357.22484407256667</v>
      </c>
      <c r="V49" s="8">
        <f>U49*25%</f>
        <v>89.30621101814167</v>
      </c>
      <c r="W49" s="52">
        <f>U49+V49</f>
        <v>446.5310550907083</v>
      </c>
      <c r="X49" s="22"/>
      <c r="Y49" s="7">
        <v>250</v>
      </c>
      <c r="Z49" s="20">
        <v>270</v>
      </c>
      <c r="AB49" s="4">
        <v>250</v>
      </c>
      <c r="AC49" s="14"/>
      <c r="AD49" s="56">
        <v>384.24739275304603</v>
      </c>
      <c r="AE49" s="17">
        <f t="shared" si="8"/>
        <v>1.1620926088565335</v>
      </c>
    </row>
    <row r="50" spans="1:31" ht="30">
      <c r="A50" s="43" t="s">
        <v>491</v>
      </c>
      <c r="B50" s="31" t="s">
        <v>147</v>
      </c>
      <c r="C50" s="7">
        <v>572624</v>
      </c>
      <c r="D50" s="7">
        <v>1925</v>
      </c>
      <c r="E50" s="7">
        <v>22</v>
      </c>
      <c r="F50" s="8">
        <f>C50/D50/60*E50</f>
        <v>109.0712380952381</v>
      </c>
      <c r="G50" s="37">
        <v>389340</v>
      </c>
      <c r="H50" s="7">
        <v>1925</v>
      </c>
      <c r="I50" s="7">
        <v>21</v>
      </c>
      <c r="J50" s="8">
        <f t="shared" si="19"/>
        <v>70.7890909090909</v>
      </c>
      <c r="K50" s="7">
        <f>'[2]Лист1'!$O$97+'[2]Лист1'!$O$53</f>
        <v>155483</v>
      </c>
      <c r="L50" s="7">
        <v>846720</v>
      </c>
      <c r="M50" s="7">
        <v>30</v>
      </c>
      <c r="N50" s="8">
        <f t="shared" si="11"/>
        <v>5.508893140589569</v>
      </c>
      <c r="O50" s="8">
        <f t="shared" si="20"/>
        <v>185.36922214491858</v>
      </c>
      <c r="P50" s="8">
        <f t="shared" si="22"/>
        <v>55.98150508776541</v>
      </c>
      <c r="Q50" s="58">
        <f t="shared" si="23"/>
        <v>189.07660658781697</v>
      </c>
      <c r="R50" s="78">
        <v>13.64</v>
      </c>
      <c r="S50" s="76">
        <v>13.64</v>
      </c>
      <c r="T50" s="21">
        <f t="shared" si="24"/>
        <v>15.686</v>
      </c>
      <c r="U50" s="9">
        <f t="shared" si="25"/>
        <v>451.6222269610905</v>
      </c>
      <c r="V50" s="8">
        <f>U50*25%</f>
        <v>112.90555674027263</v>
      </c>
      <c r="W50" s="52">
        <f t="shared" si="21"/>
        <v>564.5277837013632</v>
      </c>
      <c r="X50" s="22"/>
      <c r="Y50" s="7">
        <v>500</v>
      </c>
      <c r="Z50" s="20">
        <v>312</v>
      </c>
      <c r="AA50" s="4">
        <v>255</v>
      </c>
      <c r="AB50" s="4">
        <v>300</v>
      </c>
      <c r="AC50" s="14">
        <f t="shared" si="7"/>
        <v>121.38344458876989</v>
      </c>
      <c r="AD50" s="56">
        <v>481.8221816234411</v>
      </c>
      <c r="AE50" s="17">
        <f t="shared" si="8"/>
        <v>1.1716517114244422</v>
      </c>
    </row>
    <row r="51" spans="1:31" ht="30">
      <c r="A51" s="43" t="s">
        <v>492</v>
      </c>
      <c r="B51" s="31" t="s">
        <v>404</v>
      </c>
      <c r="C51" s="7">
        <v>572624</v>
      </c>
      <c r="D51" s="7">
        <v>1925</v>
      </c>
      <c r="E51" s="7">
        <v>15</v>
      </c>
      <c r="F51" s="8">
        <f>C51/D51/60*E51</f>
        <v>74.36675324675325</v>
      </c>
      <c r="G51" s="37">
        <v>389340</v>
      </c>
      <c r="H51" s="7">
        <v>1925</v>
      </c>
      <c r="I51" s="7">
        <v>2</v>
      </c>
      <c r="J51" s="8">
        <f t="shared" si="19"/>
        <v>6.741818181818181</v>
      </c>
      <c r="K51" s="7">
        <v>3600000</v>
      </c>
      <c r="L51" s="7">
        <v>846720</v>
      </c>
      <c r="M51" s="7">
        <v>5</v>
      </c>
      <c r="N51" s="8">
        <f t="shared" si="11"/>
        <v>21.258503401360542</v>
      </c>
      <c r="O51" s="8">
        <f t="shared" si="20"/>
        <v>102.36707482993197</v>
      </c>
      <c r="P51" s="8">
        <f t="shared" si="22"/>
        <v>30.914856598639453</v>
      </c>
      <c r="Q51" s="58">
        <f t="shared" si="23"/>
        <v>104.41441632653061</v>
      </c>
      <c r="R51" s="78">
        <f>1.99</f>
        <v>1.99</v>
      </c>
      <c r="S51" s="76">
        <v>1.99</v>
      </c>
      <c r="T51" s="21">
        <f t="shared" si="24"/>
        <v>2.2885</v>
      </c>
      <c r="U51" s="9">
        <f t="shared" si="25"/>
        <v>261.2433511564626</v>
      </c>
      <c r="V51" s="8">
        <f>U51*25%</f>
        <v>65.31083778911565</v>
      </c>
      <c r="W51" s="52">
        <f t="shared" si="21"/>
        <v>326.5541889455783</v>
      </c>
      <c r="X51" s="22"/>
      <c r="Y51" s="7">
        <v>250</v>
      </c>
      <c r="Z51" s="20">
        <v>194</v>
      </c>
      <c r="AB51" s="4">
        <v>180</v>
      </c>
      <c r="AC51" s="14"/>
      <c r="AD51" s="56">
        <v>254.89196482869514</v>
      </c>
      <c r="AE51" s="17">
        <f t="shared" si="8"/>
        <v>1.2811474428589582</v>
      </c>
    </row>
    <row r="52" spans="1:31" ht="30">
      <c r="A52" s="43" t="s">
        <v>493</v>
      </c>
      <c r="B52" s="31" t="s">
        <v>405</v>
      </c>
      <c r="C52" s="7">
        <v>572624</v>
      </c>
      <c r="D52" s="7">
        <v>1925</v>
      </c>
      <c r="E52" s="7">
        <v>15</v>
      </c>
      <c r="F52" s="8">
        <f>C52/D52/60*E52</f>
        <v>74.36675324675325</v>
      </c>
      <c r="G52" s="37">
        <v>389340</v>
      </c>
      <c r="H52" s="7">
        <v>1925</v>
      </c>
      <c r="I52" s="7">
        <v>6</v>
      </c>
      <c r="J52" s="8">
        <f t="shared" si="19"/>
        <v>20.225454545454543</v>
      </c>
      <c r="K52" s="7">
        <v>3600000</v>
      </c>
      <c r="L52" s="7">
        <v>846720</v>
      </c>
      <c r="M52" s="7">
        <v>20</v>
      </c>
      <c r="N52" s="8">
        <f t="shared" si="11"/>
        <v>85.03401360544217</v>
      </c>
      <c r="O52" s="8">
        <f t="shared" si="20"/>
        <v>179.62622139764994</v>
      </c>
      <c r="P52" s="8">
        <f t="shared" si="22"/>
        <v>54.24711886209028</v>
      </c>
      <c r="Q52" s="58">
        <f t="shared" si="23"/>
        <v>183.21874582560295</v>
      </c>
      <c r="R52" s="78">
        <f>1.99</f>
        <v>1.99</v>
      </c>
      <c r="S52" s="76">
        <v>1.99</v>
      </c>
      <c r="T52" s="21">
        <f t="shared" si="24"/>
        <v>2.2885</v>
      </c>
      <c r="U52" s="9">
        <f t="shared" si="25"/>
        <v>504.4145996907854</v>
      </c>
      <c r="V52" s="8">
        <f>U52*25%</f>
        <v>126.10364992269635</v>
      </c>
      <c r="W52" s="52">
        <f t="shared" si="21"/>
        <v>630.5182496134818</v>
      </c>
      <c r="X52" s="22"/>
      <c r="Y52" s="7">
        <v>700</v>
      </c>
      <c r="Z52" s="20">
        <v>313</v>
      </c>
      <c r="AB52" s="4">
        <v>350</v>
      </c>
      <c r="AC52" s="14"/>
      <c r="AD52" s="56">
        <v>541.0271666914039</v>
      </c>
      <c r="AE52" s="17">
        <f t="shared" si="8"/>
        <v>1.165409592034632</v>
      </c>
    </row>
    <row r="53" spans="1:31" ht="15">
      <c r="A53" s="43" t="s">
        <v>494</v>
      </c>
      <c r="B53" s="31" t="s">
        <v>104</v>
      </c>
      <c r="C53" s="7">
        <v>572624</v>
      </c>
      <c r="D53" s="7">
        <v>1500</v>
      </c>
      <c r="E53" s="7">
        <v>20</v>
      </c>
      <c r="F53" s="8">
        <f t="shared" si="18"/>
        <v>127.24977777777778</v>
      </c>
      <c r="G53" s="37">
        <v>389340</v>
      </c>
      <c r="H53" s="7">
        <v>1925</v>
      </c>
      <c r="I53" s="7">
        <v>16</v>
      </c>
      <c r="J53" s="8">
        <f t="shared" si="19"/>
        <v>53.93454545454545</v>
      </c>
      <c r="K53" s="7">
        <v>330165</v>
      </c>
      <c r="L53" s="7">
        <v>846720</v>
      </c>
      <c r="M53" s="7">
        <v>25</v>
      </c>
      <c r="N53" s="8">
        <f t="shared" si="11"/>
        <v>9.748352465986395</v>
      </c>
      <c r="O53" s="8">
        <f t="shared" si="20"/>
        <v>190.93267569830962</v>
      </c>
      <c r="P53" s="8">
        <f t="shared" si="22"/>
        <v>57.661668060889504</v>
      </c>
      <c r="Q53" s="58">
        <f t="shared" si="23"/>
        <v>194.7513292122758</v>
      </c>
      <c r="R53" s="78">
        <f>13.64+0.37*6</f>
        <v>15.86</v>
      </c>
      <c r="S53" s="76">
        <v>15.86</v>
      </c>
      <c r="T53" s="21">
        <f t="shared" si="24"/>
        <v>18.238999999999997</v>
      </c>
      <c r="U53" s="9">
        <f t="shared" si="25"/>
        <v>471.33302543746134</v>
      </c>
      <c r="V53" s="8">
        <f t="shared" si="5"/>
        <v>117.83325635936534</v>
      </c>
      <c r="W53" s="52">
        <f t="shared" si="21"/>
        <v>589.1662817968266</v>
      </c>
      <c r="X53" s="22"/>
      <c r="Y53" s="7">
        <v>500</v>
      </c>
      <c r="Z53" s="20">
        <v>356</v>
      </c>
      <c r="AA53" s="4">
        <v>274</v>
      </c>
      <c r="AB53" s="4">
        <v>350</v>
      </c>
      <c r="AC53" s="14">
        <f t="shared" si="7"/>
        <v>115.02419043679805</v>
      </c>
      <c r="AD53" s="56">
        <v>502.1567047838397</v>
      </c>
      <c r="AE53" s="17">
        <f t="shared" si="8"/>
        <v>1.1732717619501694</v>
      </c>
    </row>
    <row r="54" spans="1:31" ht="15">
      <c r="A54" s="43" t="s">
        <v>495</v>
      </c>
      <c r="B54" s="31" t="s">
        <v>52</v>
      </c>
      <c r="C54" s="7">
        <v>572624</v>
      </c>
      <c r="D54" s="7">
        <v>1500</v>
      </c>
      <c r="E54" s="7">
        <v>19</v>
      </c>
      <c r="F54" s="8">
        <f t="shared" si="18"/>
        <v>120.88728888888889</v>
      </c>
      <c r="G54" s="37">
        <v>389340</v>
      </c>
      <c r="H54" s="7">
        <v>1925</v>
      </c>
      <c r="I54" s="7">
        <v>14</v>
      </c>
      <c r="J54" s="8">
        <f t="shared" si="19"/>
        <v>47.19272727272727</v>
      </c>
      <c r="K54" s="7">
        <v>330165</v>
      </c>
      <c r="L54" s="7">
        <v>846720</v>
      </c>
      <c r="M54" s="7">
        <v>15</v>
      </c>
      <c r="N54" s="8">
        <f t="shared" si="11"/>
        <v>5.849011479591836</v>
      </c>
      <c r="O54" s="8">
        <f t="shared" si="20"/>
        <v>173.929027641208</v>
      </c>
      <c r="P54" s="8">
        <f t="shared" si="22"/>
        <v>52.52656634764481</v>
      </c>
      <c r="Q54" s="58">
        <f t="shared" si="23"/>
        <v>177.40760819403215</v>
      </c>
      <c r="R54" s="78">
        <f>13.64+0.37*6</f>
        <v>15.86</v>
      </c>
      <c r="S54" s="76">
        <v>15.86</v>
      </c>
      <c r="T54" s="21">
        <f t="shared" si="24"/>
        <v>18.238999999999997</v>
      </c>
      <c r="U54" s="9">
        <f t="shared" si="25"/>
        <v>427.95121366247673</v>
      </c>
      <c r="V54" s="8">
        <f t="shared" si="5"/>
        <v>106.98780341561918</v>
      </c>
      <c r="W54" s="52">
        <f t="shared" si="21"/>
        <v>534.939017078096</v>
      </c>
      <c r="X54" s="22"/>
      <c r="Y54" s="7">
        <v>450</v>
      </c>
      <c r="Z54" s="20">
        <v>314</v>
      </c>
      <c r="AA54" s="4">
        <v>299</v>
      </c>
      <c r="AB54" s="4">
        <v>300</v>
      </c>
      <c r="AC54" s="14">
        <f t="shared" si="7"/>
        <v>78.90937026023275</v>
      </c>
      <c r="AD54" s="56">
        <v>452.1827208443298</v>
      </c>
      <c r="AE54" s="17">
        <f t="shared" si="8"/>
        <v>1.1830151671413738</v>
      </c>
    </row>
    <row r="55" spans="1:31" ht="15">
      <c r="A55" s="43" t="s">
        <v>496</v>
      </c>
      <c r="B55" s="31" t="s">
        <v>105</v>
      </c>
      <c r="C55" s="7">
        <v>572624</v>
      </c>
      <c r="D55" s="7">
        <v>1500</v>
      </c>
      <c r="E55" s="7">
        <v>19</v>
      </c>
      <c r="F55" s="8">
        <f t="shared" si="18"/>
        <v>120.88728888888889</v>
      </c>
      <c r="G55" s="37">
        <v>389340</v>
      </c>
      <c r="H55" s="7">
        <v>1925</v>
      </c>
      <c r="I55" s="7">
        <v>9</v>
      </c>
      <c r="J55" s="8">
        <f t="shared" si="19"/>
        <v>30.338181818181816</v>
      </c>
      <c r="K55" s="7">
        <v>330165</v>
      </c>
      <c r="L55" s="7">
        <v>846720</v>
      </c>
      <c r="M55" s="7">
        <v>10</v>
      </c>
      <c r="N55" s="8">
        <f t="shared" si="11"/>
        <v>3.8993409863945576</v>
      </c>
      <c r="O55" s="8">
        <f t="shared" si="20"/>
        <v>155.12481169346526</v>
      </c>
      <c r="P55" s="8">
        <f t="shared" si="22"/>
        <v>46.84769313142651</v>
      </c>
      <c r="Q55" s="58">
        <f t="shared" si="23"/>
        <v>158.22730792733458</v>
      </c>
      <c r="R55" s="78">
        <f>13.64+0.37*6</f>
        <v>15.86</v>
      </c>
      <c r="S55" s="76">
        <v>15.86</v>
      </c>
      <c r="T55" s="21">
        <f t="shared" si="24"/>
        <v>18.238999999999997</v>
      </c>
      <c r="U55" s="9">
        <f t="shared" si="25"/>
        <v>382.33815373862086</v>
      </c>
      <c r="V55" s="8">
        <f t="shared" si="5"/>
        <v>95.58453843465522</v>
      </c>
      <c r="W55" s="52">
        <f t="shared" si="21"/>
        <v>477.92269217327606</v>
      </c>
      <c r="X55" s="22"/>
      <c r="Y55" s="7">
        <v>400</v>
      </c>
      <c r="Z55" s="20">
        <v>258</v>
      </c>
      <c r="AA55" s="4">
        <v>193</v>
      </c>
      <c r="AB55" s="4">
        <v>250</v>
      </c>
      <c r="AC55" s="14">
        <f t="shared" si="7"/>
        <v>147.62833791361456</v>
      </c>
      <c r="AD55" s="56">
        <v>408.5743878875619</v>
      </c>
      <c r="AE55" s="17">
        <f t="shared" si="8"/>
        <v>1.1697323825026413</v>
      </c>
    </row>
    <row r="56" spans="1:31" ht="15">
      <c r="A56" s="43" t="s">
        <v>497</v>
      </c>
      <c r="B56" s="31" t="s">
        <v>106</v>
      </c>
      <c r="C56" s="7">
        <v>572624</v>
      </c>
      <c r="D56" s="7">
        <v>1500</v>
      </c>
      <c r="E56" s="7">
        <v>19</v>
      </c>
      <c r="F56" s="8">
        <f t="shared" si="18"/>
        <v>120.88728888888889</v>
      </c>
      <c r="G56" s="37">
        <v>389340</v>
      </c>
      <c r="H56" s="7">
        <v>1925</v>
      </c>
      <c r="I56" s="7">
        <v>9</v>
      </c>
      <c r="J56" s="8">
        <f>G56/H56/60*I56</f>
        <v>30.338181818181816</v>
      </c>
      <c r="K56" s="7">
        <v>205000</v>
      </c>
      <c r="L56" s="7">
        <v>846720</v>
      </c>
      <c r="M56" s="7">
        <v>15</v>
      </c>
      <c r="N56" s="8">
        <f t="shared" si="11"/>
        <v>3.631660997732426</v>
      </c>
      <c r="O56" s="8">
        <f t="shared" si="20"/>
        <v>154.85713170480315</v>
      </c>
      <c r="P56" s="8">
        <f t="shared" si="22"/>
        <v>46.76685377485055</v>
      </c>
      <c r="Q56" s="58">
        <f t="shared" si="23"/>
        <v>157.9542743388992</v>
      </c>
      <c r="R56" s="78">
        <f>13.64+0.37*6</f>
        <v>15.86</v>
      </c>
      <c r="S56" s="76">
        <v>15.86</v>
      </c>
      <c r="T56" s="21">
        <f t="shared" si="24"/>
        <v>18.238999999999997</v>
      </c>
      <c r="U56" s="9">
        <f t="shared" si="25"/>
        <v>381.44892081628535</v>
      </c>
      <c r="V56" s="8">
        <f t="shared" si="5"/>
        <v>95.36223020407134</v>
      </c>
      <c r="W56" s="52">
        <f t="shared" si="21"/>
        <v>476.8111510203567</v>
      </c>
      <c r="X56" s="22"/>
      <c r="Y56" s="7">
        <v>400</v>
      </c>
      <c r="Z56" s="20">
        <v>287</v>
      </c>
      <c r="AA56" s="4">
        <v>264</v>
      </c>
      <c r="AB56" s="4">
        <v>270</v>
      </c>
      <c r="AC56" s="14">
        <f aca="true" t="shared" si="26" ref="AC56:AC108">(100*W56)/AA56-100</f>
        <v>80.61028447740784</v>
      </c>
      <c r="AD56" s="56">
        <v>407.4628467346424</v>
      </c>
      <c r="AE56" s="17">
        <f t="shared" si="8"/>
        <v>1.1701954051552508</v>
      </c>
    </row>
    <row r="57" spans="1:31" ht="15">
      <c r="A57" s="43" t="s">
        <v>498</v>
      </c>
      <c r="B57" s="31" t="s">
        <v>148</v>
      </c>
      <c r="C57" s="7">
        <v>572624</v>
      </c>
      <c r="D57" s="7">
        <v>1500</v>
      </c>
      <c r="E57" s="7">
        <v>25</v>
      </c>
      <c r="F57" s="8">
        <f aca="true" t="shared" si="27" ref="F57:F62">C57/D57/60*E57</f>
        <v>159.0622222222222</v>
      </c>
      <c r="G57" s="37">
        <v>389340</v>
      </c>
      <c r="H57" s="7">
        <v>1925</v>
      </c>
      <c r="I57" s="7">
        <v>20</v>
      </c>
      <c r="J57" s="8">
        <f t="shared" si="19"/>
        <v>67.41818181818181</v>
      </c>
      <c r="K57" s="7">
        <v>205000</v>
      </c>
      <c r="L57" s="7">
        <v>846720</v>
      </c>
      <c r="M57" s="7">
        <v>30</v>
      </c>
      <c r="N57" s="8">
        <f t="shared" si="11"/>
        <v>7.263321995464852</v>
      </c>
      <c r="O57" s="8">
        <f t="shared" si="20"/>
        <v>233.74372603586886</v>
      </c>
      <c r="P57" s="8">
        <f t="shared" si="22"/>
        <v>70.5906052628324</v>
      </c>
      <c r="Q57" s="58">
        <f t="shared" si="23"/>
        <v>238.41860055658626</v>
      </c>
      <c r="R57" s="78">
        <v>13.64</v>
      </c>
      <c r="S57" s="76">
        <v>13.64</v>
      </c>
      <c r="T57" s="21">
        <f t="shared" si="24"/>
        <v>15.686</v>
      </c>
      <c r="U57" s="9">
        <f t="shared" si="25"/>
        <v>565.7022538507524</v>
      </c>
      <c r="V57" s="8">
        <f t="shared" si="5"/>
        <v>141.4255634626881</v>
      </c>
      <c r="W57" s="52">
        <f t="shared" si="21"/>
        <v>707.1278173134406</v>
      </c>
      <c r="X57" s="22"/>
      <c r="Y57" s="7">
        <v>600</v>
      </c>
      <c r="Z57" s="20">
        <v>424</v>
      </c>
      <c r="AA57" s="4">
        <v>374</v>
      </c>
      <c r="AB57" s="4">
        <v>400</v>
      </c>
      <c r="AC57" s="14">
        <f t="shared" si="26"/>
        <v>89.07160890733707</v>
      </c>
      <c r="AD57" s="56">
        <v>602.8831019887651</v>
      </c>
      <c r="AE57" s="17">
        <f t="shared" si="8"/>
        <v>1.1729103286869336</v>
      </c>
    </row>
    <row r="58" spans="1:31" ht="15">
      <c r="A58" s="43" t="s">
        <v>499</v>
      </c>
      <c r="B58" s="31" t="s">
        <v>406</v>
      </c>
      <c r="C58" s="7">
        <v>572624</v>
      </c>
      <c r="D58" s="7">
        <v>1500</v>
      </c>
      <c r="E58" s="7">
        <v>30</v>
      </c>
      <c r="F58" s="8">
        <f>C58/D58/60*E58</f>
        <v>190.87466666666666</v>
      </c>
      <c r="G58" s="37">
        <v>389340</v>
      </c>
      <c r="H58" s="7">
        <v>1925</v>
      </c>
      <c r="I58" s="7">
        <v>10</v>
      </c>
      <c r="J58" s="8">
        <f>G58/H58/60*I58</f>
        <v>33.709090909090904</v>
      </c>
      <c r="K58" s="7">
        <v>2100000</v>
      </c>
      <c r="L58" s="7">
        <v>846720</v>
      </c>
      <c r="M58" s="7">
        <v>15</v>
      </c>
      <c r="N58" s="8">
        <f>K58/L58*M58</f>
        <v>37.202380952380956</v>
      </c>
      <c r="O58" s="8">
        <f>F58+J58+N58</f>
        <v>261.7861385281385</v>
      </c>
      <c r="P58" s="8">
        <f>O58*0.302</f>
        <v>79.05941383549782</v>
      </c>
      <c r="Q58" s="58">
        <f t="shared" si="23"/>
        <v>267.0218612987013</v>
      </c>
      <c r="R58" s="78">
        <v>13.64</v>
      </c>
      <c r="S58" s="76">
        <v>13.64</v>
      </c>
      <c r="T58" s="21">
        <f t="shared" si="24"/>
        <v>15.686</v>
      </c>
      <c r="U58" s="9">
        <f t="shared" si="25"/>
        <v>660.7557946147186</v>
      </c>
      <c r="V58" s="8">
        <f>U58*25%</f>
        <v>165.18894865367966</v>
      </c>
      <c r="W58" s="52">
        <f>U58+V58</f>
        <v>825.9447432683983</v>
      </c>
      <c r="X58" s="22"/>
      <c r="Y58" s="7">
        <v>600</v>
      </c>
      <c r="Z58" s="20">
        <v>424</v>
      </c>
      <c r="AA58" s="4">
        <v>374</v>
      </c>
      <c r="AB58" s="4">
        <v>400</v>
      </c>
      <c r="AC58" s="14">
        <f>(100*W58)/AA58-100</f>
        <v>120.8408404460958</v>
      </c>
      <c r="AD58" s="56">
        <v>705.1229918398268</v>
      </c>
      <c r="AE58" s="17">
        <f t="shared" si="8"/>
        <v>1.1713484779631422</v>
      </c>
    </row>
    <row r="59" spans="1:31" ht="15">
      <c r="A59" s="43" t="s">
        <v>500</v>
      </c>
      <c r="B59" s="31" t="s">
        <v>107</v>
      </c>
      <c r="C59" s="7">
        <v>572624</v>
      </c>
      <c r="D59" s="7">
        <v>1500</v>
      </c>
      <c r="E59" s="7">
        <v>40</v>
      </c>
      <c r="F59" s="8">
        <f t="shared" si="27"/>
        <v>254.49955555555556</v>
      </c>
      <c r="G59" s="37">
        <v>389340</v>
      </c>
      <c r="H59" s="7">
        <v>1925</v>
      </c>
      <c r="I59" s="7">
        <v>30</v>
      </c>
      <c r="J59" s="8">
        <f t="shared" si="19"/>
        <v>101.12727272727273</v>
      </c>
      <c r="K59" s="7">
        <v>687340.56</v>
      </c>
      <c r="L59" s="7">
        <v>846720</v>
      </c>
      <c r="M59" s="7">
        <v>30</v>
      </c>
      <c r="N59" s="8">
        <f t="shared" si="11"/>
        <v>24.35305272108844</v>
      </c>
      <c r="O59" s="8">
        <f t="shared" si="20"/>
        <v>379.9798810039167</v>
      </c>
      <c r="P59" s="8">
        <f t="shared" si="22"/>
        <v>114.75392406318285</v>
      </c>
      <c r="Q59" s="58">
        <f t="shared" si="23"/>
        <v>387.57947862399504</v>
      </c>
      <c r="R59" s="78">
        <f>1.15*17</f>
        <v>19.549999999999997</v>
      </c>
      <c r="S59" s="76">
        <v>19.549999999999997</v>
      </c>
      <c r="T59" s="21">
        <f t="shared" si="24"/>
        <v>22.482499999999995</v>
      </c>
      <c r="U59" s="9">
        <f t="shared" si="25"/>
        <v>929.148836412183</v>
      </c>
      <c r="V59" s="8">
        <f aca="true" t="shared" si="28" ref="V59:V65">U59*25%</f>
        <v>232.28720910304574</v>
      </c>
      <c r="W59" s="52">
        <f t="shared" si="21"/>
        <v>1161.4360455152287</v>
      </c>
      <c r="X59" s="22"/>
      <c r="Y59" s="7">
        <v>1000</v>
      </c>
      <c r="Z59" s="20">
        <v>629</v>
      </c>
      <c r="AA59" s="4">
        <v>643</v>
      </c>
      <c r="AB59" s="4">
        <v>650</v>
      </c>
      <c r="AC59" s="14">
        <f t="shared" si="26"/>
        <v>80.62768981574317</v>
      </c>
      <c r="AD59" s="56">
        <v>996.9733612944494</v>
      </c>
      <c r="AE59" s="17">
        <f t="shared" si="8"/>
        <v>1.1649619644874405</v>
      </c>
    </row>
    <row r="60" spans="1:31" ht="15">
      <c r="A60" s="43" t="s">
        <v>501</v>
      </c>
      <c r="B60" s="31" t="s">
        <v>108</v>
      </c>
      <c r="C60" s="7">
        <v>572624</v>
      </c>
      <c r="D60" s="7">
        <v>1500</v>
      </c>
      <c r="E60" s="7">
        <v>17</v>
      </c>
      <c r="F60" s="8">
        <f t="shared" si="27"/>
        <v>108.16231111111111</v>
      </c>
      <c r="G60" s="37">
        <v>389340</v>
      </c>
      <c r="H60" s="7">
        <v>1925</v>
      </c>
      <c r="I60" s="7">
        <v>15</v>
      </c>
      <c r="J60" s="8">
        <f t="shared" si="19"/>
        <v>50.56363636363636</v>
      </c>
      <c r="K60" s="7">
        <v>1026364</v>
      </c>
      <c r="L60" s="7">
        <v>846720</v>
      </c>
      <c r="M60" s="7">
        <v>15</v>
      </c>
      <c r="N60" s="8">
        <f t="shared" si="11"/>
        <v>18.18246882086168</v>
      </c>
      <c r="O60" s="8">
        <f t="shared" si="20"/>
        <v>176.90841629560916</v>
      </c>
      <c r="P60" s="8">
        <f t="shared" si="22"/>
        <v>53.426341721273964</v>
      </c>
      <c r="Q60" s="58">
        <f t="shared" si="23"/>
        <v>180.44658462152134</v>
      </c>
      <c r="R60" s="78">
        <f>13.64+1.15*20+0.25*2</f>
        <v>37.14</v>
      </c>
      <c r="S60" s="76">
        <v>37.14</v>
      </c>
      <c r="T60" s="21">
        <f t="shared" si="24"/>
        <v>42.711</v>
      </c>
      <c r="U60" s="9">
        <f t="shared" si="25"/>
        <v>471.67481145926615</v>
      </c>
      <c r="V60" s="8">
        <f t="shared" si="28"/>
        <v>117.91870286481654</v>
      </c>
      <c r="W60" s="52">
        <f t="shared" si="21"/>
        <v>589.5935143240827</v>
      </c>
      <c r="X60" s="22"/>
      <c r="Y60" s="7">
        <v>500</v>
      </c>
      <c r="Z60" s="20">
        <v>356</v>
      </c>
      <c r="AA60" s="4">
        <v>253</v>
      </c>
      <c r="AB60" s="4">
        <v>350</v>
      </c>
      <c r="AC60" s="14">
        <f t="shared" si="26"/>
        <v>133.04091475260182</v>
      </c>
      <c r="AD60" s="56">
        <v>508.69000671369304</v>
      </c>
      <c r="AE60" s="17">
        <f t="shared" si="8"/>
        <v>1.1590428483803983</v>
      </c>
    </row>
    <row r="61" spans="1:31" ht="15">
      <c r="A61" s="43" t="s">
        <v>502</v>
      </c>
      <c r="B61" s="31" t="s">
        <v>109</v>
      </c>
      <c r="C61" s="7">
        <v>572624</v>
      </c>
      <c r="D61" s="7">
        <v>1500</v>
      </c>
      <c r="E61" s="7">
        <v>25</v>
      </c>
      <c r="F61" s="8">
        <f t="shared" si="27"/>
        <v>159.0622222222222</v>
      </c>
      <c r="G61" s="37">
        <v>389340</v>
      </c>
      <c r="H61" s="7">
        <v>1925</v>
      </c>
      <c r="I61" s="7">
        <v>21</v>
      </c>
      <c r="J61" s="8">
        <f t="shared" si="19"/>
        <v>70.7890909090909</v>
      </c>
      <c r="K61" s="7">
        <v>1026364</v>
      </c>
      <c r="L61" s="7">
        <v>846720</v>
      </c>
      <c r="M61" s="7">
        <v>20</v>
      </c>
      <c r="N61" s="8">
        <f t="shared" si="11"/>
        <v>24.243291761148903</v>
      </c>
      <c r="O61" s="8">
        <f t="shared" si="20"/>
        <v>254.094604892462</v>
      </c>
      <c r="P61" s="8">
        <f t="shared" si="22"/>
        <v>76.73657067752352</v>
      </c>
      <c r="Q61" s="58">
        <f t="shared" si="23"/>
        <v>259.17649699031125</v>
      </c>
      <c r="R61" s="78">
        <f>13.64+1.15*20+0.25*2</f>
        <v>37.14</v>
      </c>
      <c r="S61" s="76">
        <v>37.14</v>
      </c>
      <c r="T61" s="21">
        <f t="shared" si="24"/>
        <v>42.711</v>
      </c>
      <c r="U61" s="9">
        <f t="shared" si="25"/>
        <v>656.9619643214457</v>
      </c>
      <c r="V61" s="8">
        <f t="shared" si="28"/>
        <v>164.24049108036144</v>
      </c>
      <c r="W61" s="52">
        <f t="shared" si="21"/>
        <v>821.2024554018071</v>
      </c>
      <c r="X61" s="22"/>
      <c r="Y61" s="7">
        <v>700</v>
      </c>
      <c r="Z61" s="20">
        <v>463</v>
      </c>
      <c r="AA61" s="4">
        <v>423</v>
      </c>
      <c r="AB61" s="4">
        <v>450</v>
      </c>
      <c r="AC61" s="14">
        <f t="shared" si="26"/>
        <v>94.13769631248394</v>
      </c>
      <c r="AD61" s="56">
        <v>702.7674264407682</v>
      </c>
      <c r="AE61" s="17">
        <f t="shared" si="8"/>
        <v>1.168526634139639</v>
      </c>
    </row>
    <row r="62" spans="1:31" ht="15">
      <c r="A62" s="43" t="s">
        <v>503</v>
      </c>
      <c r="B62" s="31" t="s">
        <v>422</v>
      </c>
      <c r="C62" s="7">
        <v>572624</v>
      </c>
      <c r="D62" s="7">
        <v>1650</v>
      </c>
      <c r="E62" s="7">
        <v>22</v>
      </c>
      <c r="F62" s="8">
        <f t="shared" si="27"/>
        <v>127.24977777777778</v>
      </c>
      <c r="G62" s="37">
        <v>389340</v>
      </c>
      <c r="H62" s="7">
        <v>1925</v>
      </c>
      <c r="I62" s="7">
        <v>20</v>
      </c>
      <c r="J62" s="8">
        <f t="shared" si="19"/>
        <v>67.41818181818181</v>
      </c>
      <c r="K62" s="7">
        <v>0</v>
      </c>
      <c r="L62" s="7">
        <v>1</v>
      </c>
      <c r="M62" s="7">
        <v>0</v>
      </c>
      <c r="N62" s="8">
        <f t="shared" si="11"/>
        <v>0</v>
      </c>
      <c r="O62" s="8">
        <f t="shared" si="20"/>
        <v>194.6679595959596</v>
      </c>
      <c r="P62" s="8">
        <f t="shared" si="22"/>
        <v>58.789723797979796</v>
      </c>
      <c r="Q62" s="58">
        <f t="shared" si="23"/>
        <v>198.56131878787878</v>
      </c>
      <c r="R62" s="78">
        <f>1.66+3.6+1.635+9.17+0.33*3</f>
        <v>17.054999999999996</v>
      </c>
      <c r="S62" s="76">
        <v>17.054999999999996</v>
      </c>
      <c r="T62" s="21">
        <f>S62*1.1</f>
        <v>18.760499999999997</v>
      </c>
      <c r="U62" s="9">
        <f t="shared" si="25"/>
        <v>470.77950218181815</v>
      </c>
      <c r="V62" s="8">
        <f t="shared" si="28"/>
        <v>117.69487554545454</v>
      </c>
      <c r="W62" s="52">
        <f t="shared" si="21"/>
        <v>588.4743777272727</v>
      </c>
      <c r="X62" s="22"/>
      <c r="Y62" s="7"/>
      <c r="Z62" s="20">
        <v>418</v>
      </c>
      <c r="AA62" s="4">
        <v>376</v>
      </c>
      <c r="AB62" s="4">
        <v>400</v>
      </c>
      <c r="AC62" s="14">
        <f t="shared" si="26"/>
        <v>56.50914301257251</v>
      </c>
      <c r="AD62" s="56">
        <v>501.35234376623373</v>
      </c>
      <c r="AE62" s="17">
        <f t="shared" si="8"/>
        <v>1.1737740633793894</v>
      </c>
    </row>
    <row r="63" spans="1:31" ht="15">
      <c r="A63" s="43" t="s">
        <v>504</v>
      </c>
      <c r="B63" s="31" t="s">
        <v>149</v>
      </c>
      <c r="C63" s="7">
        <v>572624</v>
      </c>
      <c r="D63" s="7">
        <v>1650</v>
      </c>
      <c r="E63" s="7">
        <v>35</v>
      </c>
      <c r="F63" s="8">
        <f>C63/D63/60*E63</f>
        <v>202.4428282828283</v>
      </c>
      <c r="G63" s="37">
        <v>389340</v>
      </c>
      <c r="H63" s="7">
        <v>1925</v>
      </c>
      <c r="I63" s="7">
        <v>20</v>
      </c>
      <c r="J63" s="8">
        <f t="shared" si="19"/>
        <v>67.41818181818181</v>
      </c>
      <c r="K63" s="7">
        <v>0</v>
      </c>
      <c r="L63" s="7">
        <v>1</v>
      </c>
      <c r="M63" s="7">
        <v>0</v>
      </c>
      <c r="N63" s="8">
        <f t="shared" si="11"/>
        <v>0</v>
      </c>
      <c r="O63" s="8">
        <f t="shared" si="20"/>
        <v>269.8610101010101</v>
      </c>
      <c r="P63" s="8">
        <f t="shared" si="22"/>
        <v>81.49802505050505</v>
      </c>
      <c r="Q63" s="58">
        <f t="shared" si="23"/>
        <v>275.2582303030303</v>
      </c>
      <c r="R63" s="78">
        <v>13.64</v>
      </c>
      <c r="S63" s="76">
        <v>13.64</v>
      </c>
      <c r="T63" s="21">
        <f aca="true" t="shared" si="29" ref="T63:T83">S63*1.1</f>
        <v>15.004000000000001</v>
      </c>
      <c r="U63" s="9">
        <f t="shared" si="25"/>
        <v>641.6212654545456</v>
      </c>
      <c r="V63" s="8">
        <f t="shared" si="28"/>
        <v>160.4053163636364</v>
      </c>
      <c r="W63" s="52">
        <f t="shared" si="21"/>
        <v>802.026581818182</v>
      </c>
      <c r="X63" s="22"/>
      <c r="Y63" s="7">
        <v>600</v>
      </c>
      <c r="Z63" s="20">
        <v>562</v>
      </c>
      <c r="AA63" s="4">
        <v>502</v>
      </c>
      <c r="AB63" s="4">
        <v>550</v>
      </c>
      <c r="AC63" s="14">
        <f t="shared" si="26"/>
        <v>59.76625135820359</v>
      </c>
      <c r="AD63" s="56">
        <v>684.357015064935</v>
      </c>
      <c r="AE63" s="17">
        <f t="shared" si="8"/>
        <v>1.1719417850083438</v>
      </c>
    </row>
    <row r="64" spans="1:31" ht="15">
      <c r="A64" s="43" t="s">
        <v>505</v>
      </c>
      <c r="B64" s="31" t="s">
        <v>150</v>
      </c>
      <c r="C64" s="7">
        <v>572624</v>
      </c>
      <c r="D64" s="7">
        <v>1650</v>
      </c>
      <c r="E64" s="7">
        <v>30</v>
      </c>
      <c r="F64" s="8">
        <f>C64/D64/60*E64</f>
        <v>173.52242424242425</v>
      </c>
      <c r="G64" s="37">
        <v>389340</v>
      </c>
      <c r="H64" s="7">
        <v>1925</v>
      </c>
      <c r="I64" s="7">
        <v>8</v>
      </c>
      <c r="J64" s="8">
        <f t="shared" si="19"/>
        <v>26.967272727272725</v>
      </c>
      <c r="K64" s="7">
        <v>0</v>
      </c>
      <c r="L64" s="7">
        <v>1</v>
      </c>
      <c r="M64" s="7">
        <v>0</v>
      </c>
      <c r="N64" s="8">
        <f t="shared" si="11"/>
        <v>0</v>
      </c>
      <c r="O64" s="8">
        <f t="shared" si="20"/>
        <v>200.48969696969698</v>
      </c>
      <c r="P64" s="8">
        <f t="shared" si="22"/>
        <v>60.547888484848485</v>
      </c>
      <c r="Q64" s="58">
        <f t="shared" si="23"/>
        <v>204.49949090909092</v>
      </c>
      <c r="R64" s="78">
        <v>13.64</v>
      </c>
      <c r="S64" s="76">
        <v>13.64</v>
      </c>
      <c r="T64" s="21">
        <f t="shared" si="29"/>
        <v>15.004000000000001</v>
      </c>
      <c r="U64" s="9">
        <f t="shared" si="25"/>
        <v>480.5410763636364</v>
      </c>
      <c r="V64" s="8">
        <f t="shared" si="28"/>
        <v>120.1352690909091</v>
      </c>
      <c r="W64" s="52">
        <f t="shared" si="21"/>
        <v>600.6763454545455</v>
      </c>
      <c r="X64" s="22"/>
      <c r="Y64" s="7">
        <v>300</v>
      </c>
      <c r="Z64" s="20">
        <v>209</v>
      </c>
      <c r="AA64" s="4">
        <v>131</v>
      </c>
      <c r="AB64" s="4">
        <v>200</v>
      </c>
      <c r="AC64" s="14">
        <f t="shared" si="26"/>
        <v>358.5315614156836</v>
      </c>
      <c r="AD64" s="56">
        <v>519.8706898701298</v>
      </c>
      <c r="AE64" s="17">
        <f t="shared" si="8"/>
        <v>1.1554341438341176</v>
      </c>
    </row>
    <row r="65" spans="1:31" ht="15">
      <c r="A65" s="43" t="s">
        <v>506</v>
      </c>
      <c r="B65" s="31" t="s">
        <v>151</v>
      </c>
      <c r="C65" s="7">
        <v>572624</v>
      </c>
      <c r="D65" s="7">
        <v>1650</v>
      </c>
      <c r="E65" s="7">
        <v>15</v>
      </c>
      <c r="F65" s="8">
        <f>C65/D65/60*E65</f>
        <v>86.76121212121213</v>
      </c>
      <c r="G65" s="37">
        <v>389340</v>
      </c>
      <c r="H65" s="7">
        <v>1925</v>
      </c>
      <c r="I65" s="7">
        <v>11</v>
      </c>
      <c r="J65" s="8">
        <f t="shared" si="19"/>
        <v>37.08</v>
      </c>
      <c r="K65" s="7">
        <f>52448+27552</f>
        <v>80000</v>
      </c>
      <c r="L65" s="7">
        <v>846720</v>
      </c>
      <c r="M65" s="7">
        <v>15</v>
      </c>
      <c r="N65" s="8">
        <f t="shared" si="11"/>
        <v>1.4172335600907031</v>
      </c>
      <c r="O65" s="8">
        <f t="shared" si="20"/>
        <v>125.25844568130283</v>
      </c>
      <c r="P65" s="8">
        <f t="shared" si="22"/>
        <v>37.82805059575345</v>
      </c>
      <c r="Q65" s="58">
        <f t="shared" si="23"/>
        <v>127.7636145949289</v>
      </c>
      <c r="R65" s="78">
        <f>13.64+0.83*2+1.99</f>
        <v>17.29</v>
      </c>
      <c r="S65" s="76">
        <v>17.29</v>
      </c>
      <c r="T65" s="21">
        <f>S65*1.15</f>
        <v>19.883499999999998</v>
      </c>
      <c r="U65" s="9">
        <f t="shared" si="25"/>
        <v>312.1508444320759</v>
      </c>
      <c r="V65" s="8">
        <f t="shared" si="28"/>
        <v>78.03771110801898</v>
      </c>
      <c r="W65" s="52">
        <f t="shared" si="21"/>
        <v>390.1885555400949</v>
      </c>
      <c r="X65" s="22"/>
      <c r="Y65" s="7">
        <v>350</v>
      </c>
      <c r="Z65" s="20">
        <v>269</v>
      </c>
      <c r="AB65" s="4">
        <v>250</v>
      </c>
      <c r="AC65" s="14"/>
      <c r="AD65" s="56">
        <v>332.1763966439909</v>
      </c>
      <c r="AE65" s="17">
        <f t="shared" si="8"/>
        <v>1.1746426280801594</v>
      </c>
    </row>
    <row r="66" spans="1:31" ht="15">
      <c r="A66" s="43" t="s">
        <v>507</v>
      </c>
      <c r="B66" s="31" t="s">
        <v>9</v>
      </c>
      <c r="C66" s="7"/>
      <c r="D66" s="7"/>
      <c r="E66" s="7"/>
      <c r="F66" s="8"/>
      <c r="G66" s="37">
        <v>389340</v>
      </c>
      <c r="H66" s="7">
        <v>1925</v>
      </c>
      <c r="I66" s="7">
        <v>8</v>
      </c>
      <c r="J66" s="8">
        <f t="shared" si="19"/>
        <v>26.967272727272725</v>
      </c>
      <c r="K66" s="7">
        <v>0</v>
      </c>
      <c r="L66" s="7">
        <v>1</v>
      </c>
      <c r="M66" s="7">
        <v>0</v>
      </c>
      <c r="N66" s="8">
        <f t="shared" si="11"/>
        <v>0</v>
      </c>
      <c r="O66" s="8">
        <f t="shared" si="20"/>
        <v>26.967272727272725</v>
      </c>
      <c r="P66" s="8">
        <f t="shared" si="22"/>
        <v>8.144116363636362</v>
      </c>
      <c r="Q66" s="58">
        <f t="shared" si="23"/>
        <v>27.50661818181818</v>
      </c>
      <c r="R66" s="78">
        <f>0.83*5+4.78+0.21*15+3.6+4.1+13.9+14.25</f>
        <v>47.93</v>
      </c>
      <c r="S66" s="76">
        <v>47.93</v>
      </c>
      <c r="T66" s="21">
        <f t="shared" si="29"/>
        <v>52.723000000000006</v>
      </c>
      <c r="U66" s="9">
        <f t="shared" si="25"/>
        <v>115.34100727272727</v>
      </c>
      <c r="V66" s="8">
        <f t="shared" si="5"/>
        <v>28.835251818181817</v>
      </c>
      <c r="W66" s="52">
        <f t="shared" si="21"/>
        <v>144.17625909090907</v>
      </c>
      <c r="X66" s="22"/>
      <c r="Y66" s="7"/>
      <c r="Z66" s="20">
        <v>90</v>
      </c>
      <c r="AA66" s="4">
        <v>87</v>
      </c>
      <c r="AB66" s="4">
        <v>90</v>
      </c>
      <c r="AC66" s="14">
        <f t="shared" si="26"/>
        <v>65.71983803552769</v>
      </c>
      <c r="AD66" s="56">
        <v>123.83468722077922</v>
      </c>
      <c r="AE66" s="17">
        <f t="shared" si="8"/>
        <v>1.164263925776013</v>
      </c>
    </row>
    <row r="67" spans="1:31" ht="15">
      <c r="A67" s="43" t="s">
        <v>508</v>
      </c>
      <c r="B67" s="31" t="s">
        <v>10</v>
      </c>
      <c r="C67" s="7"/>
      <c r="D67" s="7"/>
      <c r="E67" s="7"/>
      <c r="F67" s="8"/>
      <c r="G67" s="37">
        <v>389340</v>
      </c>
      <c r="H67" s="7">
        <v>1925</v>
      </c>
      <c r="I67" s="7">
        <v>6</v>
      </c>
      <c r="J67" s="8">
        <f t="shared" si="19"/>
        <v>20.225454545454543</v>
      </c>
      <c r="K67" s="7">
        <v>0</v>
      </c>
      <c r="L67" s="7">
        <v>1</v>
      </c>
      <c r="M67" s="7">
        <v>0</v>
      </c>
      <c r="N67" s="8">
        <f t="shared" si="11"/>
        <v>0</v>
      </c>
      <c r="O67" s="8">
        <f t="shared" si="20"/>
        <v>20.225454545454543</v>
      </c>
      <c r="P67" s="8">
        <f t="shared" si="22"/>
        <v>6.108087272727272</v>
      </c>
      <c r="Q67" s="58">
        <f t="shared" si="23"/>
        <v>20.629963636363634</v>
      </c>
      <c r="R67" s="78">
        <f>3.6*2+0.83*5+0.21*6</f>
        <v>12.61</v>
      </c>
      <c r="S67" s="76">
        <v>12.61</v>
      </c>
      <c r="T67" s="21">
        <f t="shared" si="29"/>
        <v>13.871</v>
      </c>
      <c r="U67" s="9">
        <f>N67+O67+P67+Q67+T67</f>
        <v>60.83450545454545</v>
      </c>
      <c r="V67" s="8">
        <f t="shared" si="5"/>
        <v>15.208626363636363</v>
      </c>
      <c r="W67" s="52">
        <f t="shared" si="21"/>
        <v>76.04313181818182</v>
      </c>
      <c r="X67" s="22"/>
      <c r="Y67" s="7"/>
      <c r="Z67" s="20">
        <v>54</v>
      </c>
      <c r="AA67" s="4">
        <v>47</v>
      </c>
      <c r="AB67" s="4">
        <v>50</v>
      </c>
      <c r="AC67" s="14">
        <f t="shared" si="26"/>
        <v>61.79389748549323</v>
      </c>
      <c r="AD67" s="56">
        <v>65.47975672727273</v>
      </c>
      <c r="AE67" s="17">
        <f t="shared" si="8"/>
        <v>1.1613227601761902</v>
      </c>
    </row>
    <row r="68" spans="1:31" ht="15">
      <c r="A68" s="43" t="s">
        <v>509</v>
      </c>
      <c r="B68" s="31" t="s">
        <v>363</v>
      </c>
      <c r="C68" s="7">
        <v>572624</v>
      </c>
      <c r="D68" s="7">
        <v>1650</v>
      </c>
      <c r="E68" s="7">
        <v>15</v>
      </c>
      <c r="F68" s="8">
        <f>C68/D68/60*E68</f>
        <v>86.76121212121213</v>
      </c>
      <c r="G68" s="37">
        <v>389340</v>
      </c>
      <c r="H68" s="7">
        <v>1925</v>
      </c>
      <c r="I68" s="7">
        <v>13</v>
      </c>
      <c r="J68" s="8">
        <f t="shared" si="19"/>
        <v>43.82181818181818</v>
      </c>
      <c r="K68" s="7">
        <v>0</v>
      </c>
      <c r="L68" s="7">
        <v>1</v>
      </c>
      <c r="M68" s="7">
        <v>0</v>
      </c>
      <c r="N68" s="8">
        <f t="shared" si="11"/>
        <v>0</v>
      </c>
      <c r="O68" s="8">
        <f t="shared" si="20"/>
        <v>130.5830303030303</v>
      </c>
      <c r="P68" s="8">
        <f t="shared" si="22"/>
        <v>39.436075151515155</v>
      </c>
      <c r="Q68" s="58">
        <f t="shared" si="23"/>
        <v>133.19469090909092</v>
      </c>
      <c r="R68" s="78">
        <f>3.6*2+3.73+1.39*10*2+0.83*5+0.21*6+9.17</f>
        <v>53.309999999999995</v>
      </c>
      <c r="S68" s="76">
        <v>53.309999999999995</v>
      </c>
      <c r="T68" s="21">
        <f t="shared" si="29"/>
        <v>58.641</v>
      </c>
      <c r="U68" s="9">
        <f t="shared" si="25"/>
        <v>361.8547963636364</v>
      </c>
      <c r="V68" s="8">
        <f>U68*25%</f>
        <v>90.4636990909091</v>
      </c>
      <c r="W68" s="52">
        <f t="shared" si="21"/>
        <v>452.31849545454554</v>
      </c>
      <c r="X68" s="22"/>
      <c r="Y68" s="7"/>
      <c r="Z68" s="20">
        <v>283</v>
      </c>
      <c r="AA68" s="4">
        <v>268</v>
      </c>
      <c r="AB68" s="4">
        <v>275</v>
      </c>
      <c r="AC68" s="14">
        <f t="shared" si="26"/>
        <v>68.77555800542746</v>
      </c>
      <c r="AD68" s="56">
        <v>386.6598958441558</v>
      </c>
      <c r="AE68" s="17">
        <f t="shared" si="8"/>
        <v>1.1698096966251021</v>
      </c>
    </row>
    <row r="69" spans="1:31" ht="15">
      <c r="A69" s="43" t="s">
        <v>510</v>
      </c>
      <c r="B69" s="31" t="s">
        <v>66</v>
      </c>
      <c r="C69" s="7"/>
      <c r="D69" s="7"/>
      <c r="E69" s="7"/>
      <c r="F69" s="8"/>
      <c r="G69" s="37">
        <v>389340</v>
      </c>
      <c r="H69" s="7">
        <v>1925</v>
      </c>
      <c r="I69" s="7">
        <v>35</v>
      </c>
      <c r="J69" s="8">
        <f t="shared" si="19"/>
        <v>117.98181818181817</v>
      </c>
      <c r="K69" s="7">
        <v>0</v>
      </c>
      <c r="L69" s="7">
        <v>1</v>
      </c>
      <c r="M69" s="7">
        <v>0</v>
      </c>
      <c r="N69" s="8">
        <f t="shared" si="11"/>
        <v>0</v>
      </c>
      <c r="O69" s="8">
        <f t="shared" si="20"/>
        <v>117.98181818181817</v>
      </c>
      <c r="P69" s="8">
        <f t="shared" si="22"/>
        <v>35.63050909090909</v>
      </c>
      <c r="Q69" s="58">
        <f t="shared" si="23"/>
        <v>120.34145454545454</v>
      </c>
      <c r="R69" s="78">
        <f>R66+32</f>
        <v>79.93</v>
      </c>
      <c r="S69" s="76">
        <v>79.93</v>
      </c>
      <c r="T69" s="21">
        <f t="shared" si="29"/>
        <v>87.92300000000002</v>
      </c>
      <c r="U69" s="9">
        <f t="shared" si="25"/>
        <v>361.8767818181818</v>
      </c>
      <c r="V69" s="8">
        <f t="shared" si="5"/>
        <v>90.46919545454546</v>
      </c>
      <c r="W69" s="52">
        <f t="shared" si="21"/>
        <v>452.3459772727273</v>
      </c>
      <c r="X69" s="22"/>
      <c r="Y69" s="7"/>
      <c r="Z69" s="20">
        <v>298</v>
      </c>
      <c r="AA69" s="4">
        <v>211</v>
      </c>
      <c r="AB69" s="4">
        <v>211</v>
      </c>
      <c r="AC69" s="14">
        <f t="shared" si="26"/>
        <v>114.38197975010769</v>
      </c>
      <c r="AD69" s="56">
        <v>384.0111098701299</v>
      </c>
      <c r="AE69" s="17">
        <f t="shared" si="8"/>
        <v>1.177950235413001</v>
      </c>
    </row>
    <row r="70" spans="1:31" ht="15">
      <c r="A70" s="43" t="s">
        <v>511</v>
      </c>
      <c r="B70" s="31" t="s">
        <v>67</v>
      </c>
      <c r="C70" s="7"/>
      <c r="D70" s="7"/>
      <c r="E70" s="7"/>
      <c r="F70" s="8"/>
      <c r="G70" s="37">
        <v>389340</v>
      </c>
      <c r="H70" s="7">
        <v>1925</v>
      </c>
      <c r="I70" s="7">
        <v>26</v>
      </c>
      <c r="J70" s="8">
        <f t="shared" si="19"/>
        <v>87.64363636363636</v>
      </c>
      <c r="K70" s="7">
        <v>0</v>
      </c>
      <c r="L70" s="7">
        <v>1</v>
      </c>
      <c r="M70" s="7">
        <v>0</v>
      </c>
      <c r="N70" s="8">
        <f t="shared" si="11"/>
        <v>0</v>
      </c>
      <c r="O70" s="8">
        <f t="shared" si="20"/>
        <v>87.64363636363636</v>
      </c>
      <c r="P70" s="8">
        <f t="shared" si="22"/>
        <v>26.46837818181818</v>
      </c>
      <c r="Q70" s="58">
        <f t="shared" si="23"/>
        <v>89.39650909090909</v>
      </c>
      <c r="R70" s="78">
        <f>R67+32</f>
        <v>44.61</v>
      </c>
      <c r="S70" s="76">
        <v>44.61</v>
      </c>
      <c r="T70" s="21">
        <f t="shared" si="29"/>
        <v>49.071000000000005</v>
      </c>
      <c r="U70" s="9">
        <f t="shared" si="25"/>
        <v>252.57952363636363</v>
      </c>
      <c r="V70" s="8">
        <f t="shared" si="5"/>
        <v>63.14488090909091</v>
      </c>
      <c r="W70" s="52">
        <f t="shared" si="21"/>
        <v>315.72440454545455</v>
      </c>
      <c r="X70" s="22"/>
      <c r="Y70" s="7"/>
      <c r="Z70" s="20">
        <v>239</v>
      </c>
      <c r="AA70" s="4">
        <v>161</v>
      </c>
      <c r="AB70" s="4">
        <v>161</v>
      </c>
      <c r="AC70" s="14">
        <f t="shared" si="26"/>
        <v>96.10211462450593</v>
      </c>
      <c r="AD70" s="56">
        <v>268.83645740259743</v>
      </c>
      <c r="AE70" s="17">
        <f t="shared" si="8"/>
        <v>1.1744106718109286</v>
      </c>
    </row>
    <row r="71" spans="1:31" ht="15">
      <c r="A71" s="43" t="s">
        <v>512</v>
      </c>
      <c r="B71" s="31" t="s">
        <v>116</v>
      </c>
      <c r="C71" s="7">
        <v>572624</v>
      </c>
      <c r="D71" s="7">
        <v>1650</v>
      </c>
      <c r="E71" s="7">
        <v>50</v>
      </c>
      <c r="F71" s="8">
        <f>C71/D71/60*E71</f>
        <v>289.20404040404037</v>
      </c>
      <c r="G71" s="37">
        <v>389340</v>
      </c>
      <c r="H71" s="7">
        <v>1925</v>
      </c>
      <c r="I71" s="7">
        <v>0</v>
      </c>
      <c r="J71" s="8">
        <f t="shared" si="19"/>
        <v>0</v>
      </c>
      <c r="K71" s="7">
        <v>0</v>
      </c>
      <c r="L71" s="7">
        <v>1</v>
      </c>
      <c r="M71" s="7">
        <v>0</v>
      </c>
      <c r="N71" s="8">
        <f t="shared" si="11"/>
        <v>0</v>
      </c>
      <c r="O71" s="8">
        <f t="shared" si="20"/>
        <v>289.20404040404037</v>
      </c>
      <c r="P71" s="8">
        <f t="shared" si="22"/>
        <v>87.33962020202019</v>
      </c>
      <c r="Q71" s="58">
        <f t="shared" si="23"/>
        <v>294.9881212121212</v>
      </c>
      <c r="R71" s="78">
        <f>R68+32</f>
        <v>85.31</v>
      </c>
      <c r="S71" s="76">
        <v>85.31</v>
      </c>
      <c r="T71" s="21">
        <f t="shared" si="29"/>
        <v>93.84100000000001</v>
      </c>
      <c r="U71" s="9">
        <f t="shared" si="25"/>
        <v>765.3727818181818</v>
      </c>
      <c r="V71" s="8">
        <f aca="true" t="shared" si="30" ref="V71:V76">U71*25%</f>
        <v>191.34319545454545</v>
      </c>
      <c r="W71" s="52">
        <f t="shared" si="21"/>
        <v>956.7159772727273</v>
      </c>
      <c r="X71" s="22"/>
      <c r="Y71" s="7"/>
      <c r="Z71" s="20">
        <v>673</v>
      </c>
      <c r="AA71" s="4">
        <v>546</v>
      </c>
      <c r="AB71" s="4">
        <v>546</v>
      </c>
      <c r="AC71" s="14">
        <f t="shared" si="26"/>
        <v>75.22270646020647</v>
      </c>
      <c r="AD71" s="56">
        <v>818.5298636363634</v>
      </c>
      <c r="AE71" s="17">
        <f t="shared" si="8"/>
        <v>1.1688223237481703</v>
      </c>
    </row>
    <row r="72" spans="1:31" ht="15">
      <c r="A72" s="43" t="s">
        <v>513</v>
      </c>
      <c r="B72" s="31" t="s">
        <v>364</v>
      </c>
      <c r="C72" s="7">
        <v>572624</v>
      </c>
      <c r="D72" s="7">
        <v>1925</v>
      </c>
      <c r="E72" s="7">
        <v>7</v>
      </c>
      <c r="F72" s="8">
        <f>C72/D72/60*E72</f>
        <v>34.70448484848485</v>
      </c>
      <c r="G72" s="37">
        <v>389340</v>
      </c>
      <c r="H72" s="7">
        <v>1925</v>
      </c>
      <c r="I72" s="7">
        <v>5</v>
      </c>
      <c r="J72" s="8">
        <f aca="true" t="shared" si="31" ref="J72:J105">G72/H72/60*I72</f>
        <v>16.854545454545452</v>
      </c>
      <c r="K72" s="7">
        <f>'[2]Лист1'!$O$629</f>
        <v>11000</v>
      </c>
      <c r="L72" s="7">
        <v>1209600</v>
      </c>
      <c r="M72" s="7">
        <v>10</v>
      </c>
      <c r="N72" s="8">
        <f t="shared" si="11"/>
        <v>0.09093915343915343</v>
      </c>
      <c r="O72" s="8">
        <f t="shared" si="20"/>
        <v>51.64996945646946</v>
      </c>
      <c r="P72" s="8">
        <f t="shared" si="22"/>
        <v>15.598290775853775</v>
      </c>
      <c r="Q72" s="58">
        <f t="shared" si="23"/>
        <v>52.68296884559884</v>
      </c>
      <c r="R72" s="78">
        <f>13.64+0.83+1.99</f>
        <v>16.46</v>
      </c>
      <c r="S72" s="76">
        <v>16.46</v>
      </c>
      <c r="T72" s="21">
        <f t="shared" si="29"/>
        <v>18.106</v>
      </c>
      <c r="U72" s="9">
        <f t="shared" si="25"/>
        <v>138.12816823136123</v>
      </c>
      <c r="V72" s="8">
        <f t="shared" si="30"/>
        <v>34.53204205784031</v>
      </c>
      <c r="W72" s="52">
        <f t="shared" si="21"/>
        <v>172.66021028920153</v>
      </c>
      <c r="X72" s="22"/>
      <c r="Y72" s="7"/>
      <c r="Z72" s="20">
        <v>148</v>
      </c>
      <c r="AA72" s="4">
        <v>133</v>
      </c>
      <c r="AC72" s="14">
        <f t="shared" si="26"/>
        <v>29.819706984362057</v>
      </c>
      <c r="AD72" s="56">
        <v>146.94406338011063</v>
      </c>
      <c r="AE72" s="17">
        <f t="shared" si="8"/>
        <v>1.1750063685292893</v>
      </c>
    </row>
    <row r="73" spans="1:31" ht="15">
      <c r="A73" s="43" t="s">
        <v>514</v>
      </c>
      <c r="B73" s="31" t="s">
        <v>40</v>
      </c>
      <c r="C73" s="7"/>
      <c r="D73" s="7"/>
      <c r="E73" s="7"/>
      <c r="F73" s="8"/>
      <c r="G73" s="37">
        <v>389340</v>
      </c>
      <c r="H73" s="7">
        <v>1925</v>
      </c>
      <c r="I73" s="7">
        <v>11</v>
      </c>
      <c r="J73" s="8">
        <f t="shared" si="31"/>
        <v>37.08</v>
      </c>
      <c r="K73" s="7">
        <v>0</v>
      </c>
      <c r="L73" s="7">
        <v>1</v>
      </c>
      <c r="M73" s="7">
        <v>0</v>
      </c>
      <c r="N73" s="8">
        <f t="shared" si="11"/>
        <v>0</v>
      </c>
      <c r="O73" s="8">
        <f t="shared" si="20"/>
        <v>37.08</v>
      </c>
      <c r="P73" s="8">
        <f t="shared" si="22"/>
        <v>11.19816</v>
      </c>
      <c r="Q73" s="58">
        <f t="shared" si="23"/>
        <v>37.8216</v>
      </c>
      <c r="R73" s="78">
        <f>0.83*5+13.6+3.6+24+7</f>
        <v>52.35</v>
      </c>
      <c r="S73" s="76">
        <v>52.35</v>
      </c>
      <c r="T73" s="21">
        <f t="shared" si="29"/>
        <v>57.58500000000001</v>
      </c>
      <c r="U73" s="9">
        <f t="shared" si="25"/>
        <v>143.68476</v>
      </c>
      <c r="V73" s="8">
        <f t="shared" si="30"/>
        <v>35.92119</v>
      </c>
      <c r="W73" s="52">
        <f t="shared" si="21"/>
        <v>179.60595</v>
      </c>
      <c r="X73" s="22"/>
      <c r="Y73" s="7"/>
      <c r="Z73" s="20">
        <v>90</v>
      </c>
      <c r="AA73" s="4">
        <v>87</v>
      </c>
      <c r="AB73" s="4">
        <v>90</v>
      </c>
      <c r="AC73" s="14">
        <f t="shared" si="26"/>
        <v>106.44362068965518</v>
      </c>
      <c r="AD73" s="56">
        <v>157.7695482077922</v>
      </c>
      <c r="AE73" s="17">
        <f aca="true" t="shared" si="32" ref="AE73:AE136">W73/AD73</f>
        <v>1.1384069488710706</v>
      </c>
    </row>
    <row r="74" spans="1:31" ht="30">
      <c r="A74" s="43" t="s">
        <v>515</v>
      </c>
      <c r="B74" s="31" t="s">
        <v>443</v>
      </c>
      <c r="C74" s="7">
        <v>572624</v>
      </c>
      <c r="D74" s="7">
        <v>1650</v>
      </c>
      <c r="E74" s="7">
        <v>2</v>
      </c>
      <c r="F74" s="8">
        <f>C74/D74/60*E74</f>
        <v>11.568161616161616</v>
      </c>
      <c r="G74" s="37">
        <v>389340</v>
      </c>
      <c r="H74" s="7">
        <v>1925</v>
      </c>
      <c r="I74" s="7">
        <v>2</v>
      </c>
      <c r="J74" s="8">
        <f t="shared" si="31"/>
        <v>6.741818181818181</v>
      </c>
      <c r="K74" s="7">
        <v>0</v>
      </c>
      <c r="L74" s="7">
        <v>1</v>
      </c>
      <c r="M74" s="7">
        <v>0</v>
      </c>
      <c r="N74" s="8">
        <f t="shared" si="11"/>
        <v>0</v>
      </c>
      <c r="O74" s="8">
        <f t="shared" si="20"/>
        <v>18.309979797979796</v>
      </c>
      <c r="P74" s="8">
        <f t="shared" si="22"/>
        <v>5.529613898989898</v>
      </c>
      <c r="Q74" s="58">
        <f t="shared" si="23"/>
        <v>18.676179393939393</v>
      </c>
      <c r="R74" s="78">
        <f>7.38+13.64+21</f>
        <v>42.019999999999996</v>
      </c>
      <c r="S74" s="76">
        <v>42.019999999999996</v>
      </c>
      <c r="T74" s="21">
        <f t="shared" si="29"/>
        <v>46.222</v>
      </c>
      <c r="U74" s="9">
        <f t="shared" si="25"/>
        <v>88.73777309090909</v>
      </c>
      <c r="V74" s="8">
        <f t="shared" si="30"/>
        <v>22.184443272727272</v>
      </c>
      <c r="W74" s="52">
        <f t="shared" si="21"/>
        <v>110.92221636363635</v>
      </c>
      <c r="X74" s="22"/>
      <c r="Y74" s="7"/>
      <c r="Z74" s="20">
        <v>72</v>
      </c>
      <c r="AA74" s="4">
        <v>62</v>
      </c>
      <c r="AC74" s="14">
        <f t="shared" si="26"/>
        <v>78.90680058651023</v>
      </c>
      <c r="AD74" s="56">
        <v>95.22208342857141</v>
      </c>
      <c r="AE74" s="17">
        <f t="shared" si="32"/>
        <v>1.1648791159546728</v>
      </c>
    </row>
    <row r="75" spans="1:31" ht="15">
      <c r="A75" s="43" t="s">
        <v>516</v>
      </c>
      <c r="B75" s="31" t="s">
        <v>117</v>
      </c>
      <c r="C75" s="7"/>
      <c r="D75" s="7"/>
      <c r="E75" s="7"/>
      <c r="F75" s="8"/>
      <c r="G75" s="37">
        <v>389340</v>
      </c>
      <c r="H75" s="7">
        <v>1925</v>
      </c>
      <c r="I75" s="7">
        <v>6</v>
      </c>
      <c r="J75" s="8">
        <f t="shared" si="31"/>
        <v>20.225454545454543</v>
      </c>
      <c r="K75" s="7">
        <f>'[2]Лист1'!$O$436</f>
        <v>4680</v>
      </c>
      <c r="L75" s="7">
        <v>846720</v>
      </c>
      <c r="M75" s="7">
        <v>5</v>
      </c>
      <c r="N75" s="8">
        <f t="shared" si="11"/>
        <v>0.027636054421768707</v>
      </c>
      <c r="O75" s="8">
        <f t="shared" si="20"/>
        <v>20.253090599876312</v>
      </c>
      <c r="P75" s="8">
        <f t="shared" si="22"/>
        <v>6.116433361162646</v>
      </c>
      <c r="Q75" s="58">
        <f t="shared" si="23"/>
        <v>20.65815241187384</v>
      </c>
      <c r="R75" s="78">
        <f>0.83*2+1.99+13.64</f>
        <v>17.29</v>
      </c>
      <c r="S75" s="76">
        <v>17.29</v>
      </c>
      <c r="T75" s="21">
        <f t="shared" si="29"/>
        <v>19.019000000000002</v>
      </c>
      <c r="U75" s="9">
        <f t="shared" si="25"/>
        <v>66.07431242733458</v>
      </c>
      <c r="V75" s="8">
        <f t="shared" si="30"/>
        <v>16.518578106833644</v>
      </c>
      <c r="W75" s="52">
        <f t="shared" si="21"/>
        <v>82.59289053416822</v>
      </c>
      <c r="X75" s="22"/>
      <c r="Y75" s="7"/>
      <c r="Z75" s="20">
        <v>72</v>
      </c>
      <c r="AA75" s="4">
        <v>62</v>
      </c>
      <c r="AC75" s="14">
        <f t="shared" si="26"/>
        <v>33.214339571239066</v>
      </c>
      <c r="AD75" s="56">
        <v>71.44451544325912</v>
      </c>
      <c r="AE75" s="17">
        <f t="shared" si="32"/>
        <v>1.156042420075801</v>
      </c>
    </row>
    <row r="76" spans="1:31" ht="15">
      <c r="A76" s="43" t="s">
        <v>517</v>
      </c>
      <c r="B76" s="31" t="s">
        <v>373</v>
      </c>
      <c r="C76" s="7">
        <v>572624</v>
      </c>
      <c r="D76" s="7">
        <v>1650</v>
      </c>
      <c r="E76" s="7">
        <v>3</v>
      </c>
      <c r="F76" s="8">
        <f aca="true" t="shared" si="33" ref="F76:F82">C76/D76/60*E76</f>
        <v>17.352242424242423</v>
      </c>
      <c r="G76" s="37">
        <v>389340</v>
      </c>
      <c r="H76" s="7">
        <v>1925</v>
      </c>
      <c r="I76" s="7">
        <v>1</v>
      </c>
      <c r="J76" s="8">
        <f t="shared" si="31"/>
        <v>3.3709090909090906</v>
      </c>
      <c r="K76" s="7">
        <v>5350</v>
      </c>
      <c r="L76" s="7">
        <v>846720</v>
      </c>
      <c r="M76" s="7">
        <v>4</v>
      </c>
      <c r="N76" s="8">
        <f t="shared" si="11"/>
        <v>0.025273998488284204</v>
      </c>
      <c r="O76" s="8">
        <f t="shared" si="20"/>
        <v>20.7484255136398</v>
      </c>
      <c r="P76" s="8">
        <f t="shared" si="22"/>
        <v>6.266024505119219</v>
      </c>
      <c r="Q76" s="58">
        <f t="shared" si="23"/>
        <v>21.163394023912595</v>
      </c>
      <c r="R76" s="78">
        <f>1.66+13.64</f>
        <v>15.3</v>
      </c>
      <c r="S76" s="76">
        <v>15.3</v>
      </c>
      <c r="T76" s="21">
        <f t="shared" si="29"/>
        <v>16.830000000000002</v>
      </c>
      <c r="U76" s="9">
        <f t="shared" si="25"/>
        <v>65.0331180411599</v>
      </c>
      <c r="V76" s="8">
        <f t="shared" si="30"/>
        <v>16.258279510289974</v>
      </c>
      <c r="W76" s="52">
        <f t="shared" si="21"/>
        <v>81.29139755144988</v>
      </c>
      <c r="X76" s="22"/>
      <c r="Y76" s="7"/>
      <c r="Z76" s="20">
        <v>67</v>
      </c>
      <c r="AB76" s="4">
        <v>62</v>
      </c>
      <c r="AC76" s="14"/>
      <c r="AD76" s="56">
        <v>69.02949895404728</v>
      </c>
      <c r="AE76" s="17">
        <f t="shared" si="32"/>
        <v>1.1776327335877854</v>
      </c>
    </row>
    <row r="77" spans="1:31" ht="15">
      <c r="A77" s="43" t="s">
        <v>518</v>
      </c>
      <c r="B77" s="31" t="s">
        <v>374</v>
      </c>
      <c r="C77" s="7">
        <v>572624</v>
      </c>
      <c r="D77" s="7">
        <v>1650</v>
      </c>
      <c r="E77" s="7">
        <v>6</v>
      </c>
      <c r="F77" s="8">
        <f t="shared" si="33"/>
        <v>34.704484848484846</v>
      </c>
      <c r="G77" s="37">
        <v>389340</v>
      </c>
      <c r="H77" s="7">
        <v>1925</v>
      </c>
      <c r="I77" s="7">
        <v>4</v>
      </c>
      <c r="J77" s="8">
        <f aca="true" t="shared" si="34" ref="J77:J82">G77/H77/60*I77</f>
        <v>13.483636363636363</v>
      </c>
      <c r="K77" s="7">
        <v>0</v>
      </c>
      <c r="L77" s="7">
        <v>1</v>
      </c>
      <c r="M77" s="7">
        <v>0</v>
      </c>
      <c r="N77" s="8">
        <f t="shared" si="11"/>
        <v>0</v>
      </c>
      <c r="O77" s="8">
        <f t="shared" si="20"/>
        <v>48.18812121212121</v>
      </c>
      <c r="P77" s="8">
        <f t="shared" si="22"/>
        <v>14.552812606060606</v>
      </c>
      <c r="Q77" s="58">
        <f t="shared" si="23"/>
        <v>49.151883636363635</v>
      </c>
      <c r="R77" s="78">
        <v>0.25</v>
      </c>
      <c r="S77" s="76">
        <v>0.25</v>
      </c>
      <c r="T77" s="21">
        <f t="shared" si="29"/>
        <v>0.275</v>
      </c>
      <c r="U77" s="9">
        <f t="shared" si="25"/>
        <v>112.16781745454546</v>
      </c>
      <c r="V77" s="8">
        <f aca="true" t="shared" si="35" ref="V77:V82">U77*25%</f>
        <v>28.041954363636364</v>
      </c>
      <c r="W77" s="52">
        <f t="shared" si="21"/>
        <v>140.20977181818182</v>
      </c>
      <c r="X77" s="22">
        <v>120</v>
      </c>
      <c r="Y77" s="7"/>
      <c r="Z77" s="20">
        <v>90</v>
      </c>
      <c r="AB77" s="4">
        <v>89.6</v>
      </c>
      <c r="AC77" s="14"/>
      <c r="AD77" s="56">
        <v>124.81137168831168</v>
      </c>
      <c r="AE77" s="17">
        <f t="shared" si="32"/>
        <v>1.123373374730022</v>
      </c>
    </row>
    <row r="78" spans="1:31" ht="30">
      <c r="A78" s="43" t="s">
        <v>519</v>
      </c>
      <c r="B78" s="31" t="s">
        <v>375</v>
      </c>
      <c r="C78" s="7">
        <v>572624</v>
      </c>
      <c r="D78" s="7">
        <v>1650</v>
      </c>
      <c r="E78" s="7">
        <v>4</v>
      </c>
      <c r="F78" s="8">
        <f t="shared" si="33"/>
        <v>23.13632323232323</v>
      </c>
      <c r="G78" s="37">
        <v>389340</v>
      </c>
      <c r="H78" s="7">
        <v>1925</v>
      </c>
      <c r="I78" s="7">
        <v>3</v>
      </c>
      <c r="J78" s="8">
        <f t="shared" si="34"/>
        <v>10.112727272727271</v>
      </c>
      <c r="K78" s="7">
        <v>12360</v>
      </c>
      <c r="L78" s="7">
        <v>846720</v>
      </c>
      <c r="M78" s="7">
        <v>5</v>
      </c>
      <c r="N78" s="8">
        <f t="shared" si="11"/>
        <v>0.0729875283446712</v>
      </c>
      <c r="O78" s="8">
        <f t="shared" si="20"/>
        <v>33.322038033395174</v>
      </c>
      <c r="P78" s="8">
        <f t="shared" si="22"/>
        <v>10.063255486085342</v>
      </c>
      <c r="Q78" s="58">
        <f t="shared" si="23"/>
        <v>33.98847879406308</v>
      </c>
      <c r="R78" s="78">
        <f>1.66+7.38</f>
        <v>9.04</v>
      </c>
      <c r="S78" s="76">
        <v>9.04</v>
      </c>
      <c r="T78" s="21">
        <f t="shared" si="29"/>
        <v>9.943999999999999</v>
      </c>
      <c r="U78" s="9">
        <f t="shared" si="25"/>
        <v>87.39075984188825</v>
      </c>
      <c r="V78" s="8">
        <f t="shared" si="35"/>
        <v>21.847689960472064</v>
      </c>
      <c r="W78" s="52">
        <f t="shared" si="21"/>
        <v>109.23844980236032</v>
      </c>
      <c r="X78" s="22">
        <v>90</v>
      </c>
      <c r="Y78" s="7"/>
      <c r="Z78" s="20">
        <v>90</v>
      </c>
      <c r="AB78" s="4">
        <v>89.6</v>
      </c>
      <c r="AC78" s="14"/>
      <c r="AD78" s="56">
        <v>91.60867967249021</v>
      </c>
      <c r="AE78" s="17">
        <f t="shared" si="32"/>
        <v>1.1924465039000478</v>
      </c>
    </row>
    <row r="79" spans="1:31" ht="15">
      <c r="A79" s="43" t="s">
        <v>520</v>
      </c>
      <c r="B79" s="31" t="s">
        <v>394</v>
      </c>
      <c r="C79" s="7">
        <v>572624</v>
      </c>
      <c r="D79" s="7">
        <v>1650</v>
      </c>
      <c r="E79" s="7">
        <v>1.5</v>
      </c>
      <c r="F79" s="8">
        <f t="shared" si="33"/>
        <v>8.676121212121211</v>
      </c>
      <c r="G79" s="37">
        <v>389340</v>
      </c>
      <c r="H79" s="7">
        <v>1925</v>
      </c>
      <c r="I79" s="7">
        <v>1.5</v>
      </c>
      <c r="J79" s="8">
        <f t="shared" si="34"/>
        <v>5.056363636363636</v>
      </c>
      <c r="K79" s="7">
        <v>0</v>
      </c>
      <c r="L79" s="7">
        <v>1</v>
      </c>
      <c r="M79" s="7">
        <v>0</v>
      </c>
      <c r="N79" s="8">
        <f t="shared" si="11"/>
        <v>0</v>
      </c>
      <c r="O79" s="8">
        <f t="shared" si="20"/>
        <v>13.732484848484848</v>
      </c>
      <c r="P79" s="8">
        <f t="shared" si="22"/>
        <v>4.147210424242424</v>
      </c>
      <c r="Q79" s="58">
        <f t="shared" si="23"/>
        <v>14.007134545454544</v>
      </c>
      <c r="R79" s="78">
        <f>7.38+13.64</f>
        <v>21.02</v>
      </c>
      <c r="S79" s="76">
        <v>21.02</v>
      </c>
      <c r="T79" s="21">
        <f t="shared" si="29"/>
        <v>23.122</v>
      </c>
      <c r="U79" s="9">
        <f>N79+O79+P79+Q79+T79</f>
        <v>55.008829818181816</v>
      </c>
      <c r="V79" s="8">
        <f t="shared" si="35"/>
        <v>13.752207454545454</v>
      </c>
      <c r="W79" s="52">
        <f t="shared" si="21"/>
        <v>68.76103727272726</v>
      </c>
      <c r="X79" s="22">
        <v>100</v>
      </c>
      <c r="Y79" s="7"/>
      <c r="Z79" s="20">
        <v>46</v>
      </c>
      <c r="AB79" s="4">
        <v>50</v>
      </c>
      <c r="AC79" s="14"/>
      <c r="AD79" s="56">
        <v>51.17477433766234</v>
      </c>
      <c r="AE79" s="17">
        <f t="shared" si="32"/>
        <v>1.3436510109263389</v>
      </c>
    </row>
    <row r="80" spans="1:31" ht="15">
      <c r="A80" s="43" t="s">
        <v>521</v>
      </c>
      <c r="B80" s="31" t="s">
        <v>395</v>
      </c>
      <c r="C80" s="7">
        <v>572624</v>
      </c>
      <c r="D80" s="7">
        <v>1650</v>
      </c>
      <c r="E80" s="7">
        <v>4</v>
      </c>
      <c r="F80" s="8">
        <f t="shared" si="33"/>
        <v>23.13632323232323</v>
      </c>
      <c r="G80" s="37">
        <v>389340</v>
      </c>
      <c r="H80" s="7">
        <v>1925</v>
      </c>
      <c r="I80" s="7">
        <v>3</v>
      </c>
      <c r="J80" s="8">
        <f t="shared" si="34"/>
        <v>10.112727272727271</v>
      </c>
      <c r="K80" s="7">
        <v>0</v>
      </c>
      <c r="L80" s="7">
        <v>1</v>
      </c>
      <c r="M80" s="7">
        <v>0</v>
      </c>
      <c r="N80" s="8">
        <f t="shared" si="11"/>
        <v>0</v>
      </c>
      <c r="O80" s="8">
        <f t="shared" si="20"/>
        <v>33.249050505050505</v>
      </c>
      <c r="P80" s="8">
        <f t="shared" si="22"/>
        <v>10.041213252525251</v>
      </c>
      <c r="Q80" s="58">
        <f t="shared" si="23"/>
        <v>33.914031515151514</v>
      </c>
      <c r="R80" s="78">
        <v>13.64</v>
      </c>
      <c r="S80" s="76">
        <v>13.64</v>
      </c>
      <c r="T80" s="21">
        <f t="shared" si="29"/>
        <v>15.004000000000001</v>
      </c>
      <c r="U80" s="9">
        <f t="shared" si="25"/>
        <v>92.20829527272728</v>
      </c>
      <c r="V80" s="8">
        <f t="shared" si="35"/>
        <v>23.05207381818182</v>
      </c>
      <c r="W80" s="52">
        <f t="shared" si="21"/>
        <v>115.26036909090911</v>
      </c>
      <c r="X80" s="22">
        <v>100</v>
      </c>
      <c r="Y80" s="7"/>
      <c r="Z80" s="20">
        <v>46</v>
      </c>
      <c r="AB80" s="4">
        <v>50</v>
      </c>
      <c r="AC80" s="14"/>
      <c r="AD80" s="56">
        <v>98.85178825974025</v>
      </c>
      <c r="AE80" s="17">
        <f t="shared" si="32"/>
        <v>1.1659917450158224</v>
      </c>
    </row>
    <row r="81" spans="1:31" ht="15">
      <c r="A81" s="43" t="s">
        <v>522</v>
      </c>
      <c r="B81" s="31" t="s">
        <v>396</v>
      </c>
      <c r="C81" s="7">
        <v>572624</v>
      </c>
      <c r="D81" s="7">
        <v>1650</v>
      </c>
      <c r="E81" s="7">
        <v>5</v>
      </c>
      <c r="F81" s="8">
        <f t="shared" si="33"/>
        <v>28.92040404040404</v>
      </c>
      <c r="G81" s="37">
        <v>389340</v>
      </c>
      <c r="H81" s="7">
        <v>1925</v>
      </c>
      <c r="I81" s="7">
        <v>1</v>
      </c>
      <c r="J81" s="8">
        <f t="shared" si="34"/>
        <v>3.3709090909090906</v>
      </c>
      <c r="K81" s="7">
        <v>0</v>
      </c>
      <c r="L81" s="7">
        <v>1</v>
      </c>
      <c r="M81" s="7">
        <v>0</v>
      </c>
      <c r="N81" s="8">
        <f t="shared" si="11"/>
        <v>0</v>
      </c>
      <c r="O81" s="8">
        <f t="shared" si="20"/>
        <v>32.29131313131313</v>
      </c>
      <c r="P81" s="8">
        <f t="shared" si="22"/>
        <v>9.751976565656566</v>
      </c>
      <c r="Q81" s="58">
        <f t="shared" si="23"/>
        <v>32.9371393939394</v>
      </c>
      <c r="R81" s="78">
        <v>13.64</v>
      </c>
      <c r="S81" s="76">
        <v>13.64</v>
      </c>
      <c r="T81" s="21">
        <f t="shared" si="29"/>
        <v>15.004000000000001</v>
      </c>
      <c r="U81" s="9">
        <f t="shared" si="25"/>
        <v>89.9844290909091</v>
      </c>
      <c r="V81" s="8">
        <f t="shared" si="35"/>
        <v>22.496107272727276</v>
      </c>
      <c r="W81" s="52">
        <f t="shared" si="21"/>
        <v>112.48053636363638</v>
      </c>
      <c r="X81" s="22">
        <v>100</v>
      </c>
      <c r="Y81" s="7"/>
      <c r="Z81" s="20">
        <v>46</v>
      </c>
      <c r="AB81" s="4">
        <v>50</v>
      </c>
      <c r="AC81" s="14"/>
      <c r="AD81" s="56">
        <v>98.85178825974025</v>
      </c>
      <c r="AE81" s="17">
        <f t="shared" si="32"/>
        <v>1.1378705266118767</v>
      </c>
    </row>
    <row r="82" spans="1:31" ht="15">
      <c r="A82" s="43" t="s">
        <v>523</v>
      </c>
      <c r="B82" s="31" t="s">
        <v>400</v>
      </c>
      <c r="C82" s="7">
        <v>572624</v>
      </c>
      <c r="D82" s="7">
        <v>1650</v>
      </c>
      <c r="E82" s="7">
        <v>50</v>
      </c>
      <c r="F82" s="8">
        <f t="shared" si="33"/>
        <v>289.20404040404037</v>
      </c>
      <c r="G82" s="37">
        <v>389340</v>
      </c>
      <c r="H82" s="7">
        <v>1925</v>
      </c>
      <c r="I82" s="7">
        <v>30</v>
      </c>
      <c r="J82" s="8">
        <f t="shared" si="34"/>
        <v>101.12727272727273</v>
      </c>
      <c r="K82" s="7">
        <v>0</v>
      </c>
      <c r="L82" s="7">
        <v>1</v>
      </c>
      <c r="M82" s="7">
        <v>0</v>
      </c>
      <c r="N82" s="8">
        <f t="shared" si="11"/>
        <v>0</v>
      </c>
      <c r="O82" s="8">
        <f t="shared" si="20"/>
        <v>390.3313131313131</v>
      </c>
      <c r="P82" s="8">
        <f t="shared" si="22"/>
        <v>117.88005656565655</v>
      </c>
      <c r="Q82" s="58">
        <f t="shared" si="23"/>
        <v>398.13793939393935</v>
      </c>
      <c r="R82" s="78">
        <v>13.64</v>
      </c>
      <c r="S82" s="76">
        <v>13.64</v>
      </c>
      <c r="T82" s="21">
        <f t="shared" si="29"/>
        <v>15.004000000000001</v>
      </c>
      <c r="U82" s="9">
        <f t="shared" si="25"/>
        <v>921.353309090909</v>
      </c>
      <c r="V82" s="8">
        <f t="shared" si="35"/>
        <v>230.33832727272724</v>
      </c>
      <c r="W82" s="52">
        <f t="shared" si="21"/>
        <v>1151.6916363636362</v>
      </c>
      <c r="X82" s="22">
        <v>1000</v>
      </c>
      <c r="Y82" s="7"/>
      <c r="Z82" s="20">
        <v>703</v>
      </c>
      <c r="AB82" s="4">
        <v>700</v>
      </c>
      <c r="AC82" s="14"/>
      <c r="AD82" s="56">
        <v>1003.813151168831</v>
      </c>
      <c r="AE82" s="17">
        <f t="shared" si="32"/>
        <v>1.1473167441795487</v>
      </c>
    </row>
    <row r="83" spans="1:31" ht="15">
      <c r="A83" s="43" t="s">
        <v>524</v>
      </c>
      <c r="B83" s="31" t="s">
        <v>446</v>
      </c>
      <c r="C83" s="7">
        <v>572624</v>
      </c>
      <c r="D83" s="7">
        <v>1650</v>
      </c>
      <c r="E83" s="7">
        <v>350</v>
      </c>
      <c r="F83" s="8">
        <f>C83/D83/60*E83</f>
        <v>2024.4282828282828</v>
      </c>
      <c r="G83" s="37">
        <v>389340</v>
      </c>
      <c r="H83" s="7">
        <v>1925</v>
      </c>
      <c r="I83" s="7">
        <v>350</v>
      </c>
      <c r="J83" s="8">
        <f>G83/H83/60*I83</f>
        <v>1179.8181818181818</v>
      </c>
      <c r="K83" s="7">
        <v>0</v>
      </c>
      <c r="L83" s="7">
        <v>1</v>
      </c>
      <c r="M83" s="7">
        <v>0</v>
      </c>
      <c r="N83" s="8">
        <f>K83/L83*M83</f>
        <v>0</v>
      </c>
      <c r="O83" s="8">
        <f>F83+J83+N83</f>
        <v>3204.2464646464646</v>
      </c>
      <c r="P83" s="8">
        <f>O83*0.302</f>
        <v>967.6824323232323</v>
      </c>
      <c r="Q83" s="58">
        <f t="shared" si="23"/>
        <v>3268.331393939394</v>
      </c>
      <c r="R83" s="78">
        <v>13.64</v>
      </c>
      <c r="S83" s="79">
        <v>13.64</v>
      </c>
      <c r="T83" s="21">
        <f t="shared" si="29"/>
        <v>15.004000000000001</v>
      </c>
      <c r="U83" s="9">
        <f>N83+O83+P83+Q83+T83</f>
        <v>7455.264290909091</v>
      </c>
      <c r="V83" s="8">
        <f>U83*25%</f>
        <v>1863.8160727272727</v>
      </c>
      <c r="W83" s="52">
        <f>U83+V83</f>
        <v>9319.080363636363</v>
      </c>
      <c r="X83" s="22">
        <v>8000</v>
      </c>
      <c r="Y83" s="7"/>
      <c r="Z83" s="20">
        <v>703</v>
      </c>
      <c r="AB83" s="4">
        <v>700</v>
      </c>
      <c r="AC83" s="14"/>
      <c r="AD83" s="56">
        <v>8017.609896103896</v>
      </c>
      <c r="AE83" s="17">
        <f t="shared" si="32"/>
        <v>1.16232648936498</v>
      </c>
    </row>
    <row r="84" spans="1:29" ht="15">
      <c r="A84" s="43"/>
      <c r="B84" s="85" t="s">
        <v>423</v>
      </c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7"/>
      <c r="S84" s="87"/>
      <c r="T84" s="86"/>
      <c r="U84" s="86"/>
      <c r="V84" s="86"/>
      <c r="W84" s="88"/>
      <c r="X84" s="23"/>
      <c r="Y84" s="21"/>
      <c r="Z84" s="20"/>
      <c r="AC84" s="14"/>
    </row>
    <row r="85" spans="1:31" s="3" customFormat="1" ht="21.75" customHeight="1">
      <c r="A85" s="47" t="s">
        <v>525</v>
      </c>
      <c r="B85" s="31" t="s">
        <v>60</v>
      </c>
      <c r="C85" s="7">
        <v>572624</v>
      </c>
      <c r="D85" s="7">
        <v>1650</v>
      </c>
      <c r="E85" s="7">
        <v>15</v>
      </c>
      <c r="F85" s="8">
        <f>C85/D85/60*E85</f>
        <v>86.76121212121213</v>
      </c>
      <c r="G85" s="37">
        <v>389340</v>
      </c>
      <c r="H85" s="7">
        <v>1925</v>
      </c>
      <c r="I85" s="7">
        <v>10</v>
      </c>
      <c r="J85" s="8">
        <f>G85/H85/60*I85</f>
        <v>33.709090909090904</v>
      </c>
      <c r="K85" s="7">
        <v>0</v>
      </c>
      <c r="L85" s="7">
        <v>1</v>
      </c>
      <c r="M85" s="7">
        <v>0</v>
      </c>
      <c r="N85" s="8">
        <f>K85/L85*M85</f>
        <v>0</v>
      </c>
      <c r="O85" s="8">
        <f>F85+J85+N85</f>
        <v>120.47030303030303</v>
      </c>
      <c r="P85" s="8">
        <f>O85*0.302</f>
        <v>36.38203151515151</v>
      </c>
      <c r="Q85" s="58">
        <f>(O85)*102%</f>
        <v>122.87970909090909</v>
      </c>
      <c r="R85" s="78">
        <f>13.64+1</f>
        <v>14.64</v>
      </c>
      <c r="S85" s="80">
        <v>14.64</v>
      </c>
      <c r="T85" s="60">
        <f>S85</f>
        <v>14.64</v>
      </c>
      <c r="U85" s="9">
        <f>N85+O85+P85+Q85+T85</f>
        <v>294.3720436363636</v>
      </c>
      <c r="V85" s="8">
        <f>U85*25%</f>
        <v>73.5930109090909</v>
      </c>
      <c r="W85" s="52">
        <f>U85+V85</f>
        <v>367.96505454545456</v>
      </c>
      <c r="X85" s="22"/>
      <c r="Y85" s="7"/>
      <c r="Z85" s="20">
        <v>451</v>
      </c>
      <c r="AA85" s="4">
        <v>570</v>
      </c>
      <c r="AB85" s="67"/>
      <c r="AC85" s="14">
        <f>(100*W85)/AA85-100</f>
        <v>-35.44472727272728</v>
      </c>
      <c r="AD85" s="68">
        <v>311.7910161038961</v>
      </c>
      <c r="AE85" s="17">
        <f t="shared" si="32"/>
        <v>1.1801656736088892</v>
      </c>
    </row>
    <row r="86" spans="1:31" s="3" customFormat="1" ht="27.75" customHeight="1">
      <c r="A86" s="47" t="s">
        <v>526</v>
      </c>
      <c r="B86" s="33" t="s">
        <v>353</v>
      </c>
      <c r="C86" s="7">
        <v>572624</v>
      </c>
      <c r="D86" s="7">
        <v>1650</v>
      </c>
      <c r="E86" s="7">
        <v>15</v>
      </c>
      <c r="F86" s="8">
        <f>C86/D86/60*E86</f>
        <v>86.76121212121213</v>
      </c>
      <c r="G86" s="37">
        <v>389340</v>
      </c>
      <c r="H86" s="7">
        <v>1925</v>
      </c>
      <c r="I86" s="7">
        <v>4</v>
      </c>
      <c r="J86" s="8">
        <f>G86/H86/60*I86</f>
        <v>13.483636363636363</v>
      </c>
      <c r="K86" s="7">
        <v>0</v>
      </c>
      <c r="L86" s="7">
        <v>1</v>
      </c>
      <c r="M86" s="7">
        <v>0</v>
      </c>
      <c r="N86" s="8">
        <f>K86/L86*M86</f>
        <v>0</v>
      </c>
      <c r="O86" s="8">
        <f>F86+J86+N86</f>
        <v>100.24484848484849</v>
      </c>
      <c r="P86" s="8">
        <f>O86*0.302</f>
        <v>30.273944242424243</v>
      </c>
      <c r="Q86" s="58">
        <f>(O86)*102%</f>
        <v>102.24974545454546</v>
      </c>
      <c r="R86" s="78">
        <v>15</v>
      </c>
      <c r="S86" s="81">
        <v>15</v>
      </c>
      <c r="T86" s="60">
        <f>S86</f>
        <v>15</v>
      </c>
      <c r="U86" s="9">
        <f>N86+O86+P86+Q86+T86</f>
        <v>247.7685381818182</v>
      </c>
      <c r="V86" s="8">
        <f>U86*25%</f>
        <v>61.94213454545455</v>
      </c>
      <c r="W86" s="52">
        <f>U86+V86</f>
        <v>309.71067272727277</v>
      </c>
      <c r="X86" s="22"/>
      <c r="Y86" s="7"/>
      <c r="Z86" s="20">
        <v>230</v>
      </c>
      <c r="AA86" s="4"/>
      <c r="AB86" s="67"/>
      <c r="AC86" s="14"/>
      <c r="AD86" s="68">
        <v>267.74774337662336</v>
      </c>
      <c r="AE86" s="17">
        <f t="shared" si="32"/>
        <v>1.1567256135250517</v>
      </c>
    </row>
    <row r="87" spans="1:31" ht="15">
      <c r="A87" s="47" t="s">
        <v>527</v>
      </c>
      <c r="B87" s="31" t="s">
        <v>50</v>
      </c>
      <c r="C87" s="7">
        <v>572624</v>
      </c>
      <c r="D87" s="7">
        <v>1650</v>
      </c>
      <c r="E87" s="7">
        <v>11</v>
      </c>
      <c r="F87" s="8">
        <f>C87/D87/60*E87</f>
        <v>63.62488888888889</v>
      </c>
      <c r="G87" s="37">
        <v>389340</v>
      </c>
      <c r="H87" s="7">
        <v>1925</v>
      </c>
      <c r="I87" s="7">
        <v>4</v>
      </c>
      <c r="J87" s="8">
        <f>G87/H87/60*I87</f>
        <v>13.483636363636363</v>
      </c>
      <c r="K87" s="7">
        <v>0</v>
      </c>
      <c r="L87" s="7">
        <v>1</v>
      </c>
      <c r="M87" s="7">
        <v>0</v>
      </c>
      <c r="N87" s="8">
        <f>K87/L87*M87</f>
        <v>0</v>
      </c>
      <c r="O87" s="8">
        <f>F87+J87+N87</f>
        <v>77.10852525252525</v>
      </c>
      <c r="P87" s="8">
        <f>O87*0.302</f>
        <v>23.286774626262627</v>
      </c>
      <c r="Q87" s="58">
        <f>(O87)*102%</f>
        <v>78.65069575757576</v>
      </c>
      <c r="R87" s="78">
        <v>1.2</v>
      </c>
      <c r="S87" s="76">
        <v>1.2</v>
      </c>
      <c r="T87" s="60">
        <f>S87</f>
        <v>1.2</v>
      </c>
      <c r="U87" s="9">
        <f>N87+O87+P87+Q87+T87</f>
        <v>180.24599563636363</v>
      </c>
      <c r="V87" s="8">
        <f>U87*25%</f>
        <v>45.06149890909091</v>
      </c>
      <c r="W87" s="52">
        <f>U87+V87</f>
        <v>225.30749454545455</v>
      </c>
      <c r="X87" s="22"/>
      <c r="Y87" s="7"/>
      <c r="Z87" s="20">
        <v>119</v>
      </c>
      <c r="AA87" s="4">
        <v>105</v>
      </c>
      <c r="AB87" s="4">
        <v>105</v>
      </c>
      <c r="AC87" s="14">
        <f>(100*W87)/AA87-100</f>
        <v>114.57856623376622</v>
      </c>
      <c r="AD87" s="56">
        <v>190.29954015584417</v>
      </c>
      <c r="AE87" s="17">
        <f t="shared" si="32"/>
        <v>1.1839623698561799</v>
      </c>
    </row>
    <row r="88" spans="1:31" ht="15">
      <c r="A88" s="47" t="s">
        <v>528</v>
      </c>
      <c r="B88" s="31" t="s">
        <v>376</v>
      </c>
      <c r="C88" s="7">
        <v>572624</v>
      </c>
      <c r="D88" s="7">
        <v>1650</v>
      </c>
      <c r="E88" s="7">
        <v>15</v>
      </c>
      <c r="F88" s="8">
        <f>C88/D88/60*E88</f>
        <v>86.76121212121213</v>
      </c>
      <c r="G88" s="37">
        <v>389340</v>
      </c>
      <c r="H88" s="7">
        <v>1925</v>
      </c>
      <c r="I88" s="7">
        <v>9</v>
      </c>
      <c r="J88" s="8">
        <f>G88/H88/60*I88</f>
        <v>30.338181818181816</v>
      </c>
      <c r="K88" s="7">
        <v>0</v>
      </c>
      <c r="L88" s="7">
        <v>1</v>
      </c>
      <c r="M88" s="7">
        <v>0</v>
      </c>
      <c r="N88" s="8">
        <f>K88/L88*M88</f>
        <v>0</v>
      </c>
      <c r="O88" s="8">
        <f>F88+J88+N88</f>
        <v>117.09939393939393</v>
      </c>
      <c r="P88" s="8">
        <f>O88*0.302</f>
        <v>35.36401696969697</v>
      </c>
      <c r="Q88" s="58">
        <f>(O88)*102%</f>
        <v>119.44138181818181</v>
      </c>
      <c r="R88" s="78">
        <v>1.2</v>
      </c>
      <c r="S88" s="76">
        <v>1.2</v>
      </c>
      <c r="T88" s="60">
        <f>S88</f>
        <v>1.2</v>
      </c>
      <c r="U88" s="9">
        <f>N88+O88+P88+Q88+T88</f>
        <v>273.1047927272727</v>
      </c>
      <c r="V88" s="8">
        <f>U88*25%</f>
        <v>68.27619818181817</v>
      </c>
      <c r="W88" s="52">
        <f>U88+V88</f>
        <v>341.3809909090909</v>
      </c>
      <c r="X88" s="22">
        <v>450</v>
      </c>
      <c r="Y88" s="7"/>
      <c r="Z88" s="20"/>
      <c r="AA88" s="4">
        <v>105</v>
      </c>
      <c r="AB88" s="4">
        <v>105</v>
      </c>
      <c r="AC88" s="14">
        <f>(100*W88)/AA88-100</f>
        <v>225.12475324675324</v>
      </c>
      <c r="AD88" s="56">
        <v>295.2049134545455</v>
      </c>
      <c r="AE88" s="17">
        <f t="shared" si="32"/>
        <v>1.1564204230687896</v>
      </c>
    </row>
    <row r="89" spans="1:31" ht="30">
      <c r="A89" s="47" t="s">
        <v>529</v>
      </c>
      <c r="B89" s="31" t="s">
        <v>377</v>
      </c>
      <c r="C89" s="7">
        <v>572624</v>
      </c>
      <c r="D89" s="7">
        <v>1650</v>
      </c>
      <c r="E89" s="7">
        <v>9</v>
      </c>
      <c r="F89" s="8">
        <f>C89/D89/60*E89</f>
        <v>52.05672727272727</v>
      </c>
      <c r="G89" s="37">
        <v>389340</v>
      </c>
      <c r="H89" s="7">
        <v>1925</v>
      </c>
      <c r="I89" s="7">
        <v>3</v>
      </c>
      <c r="J89" s="8">
        <f>G89/H89/60*I89</f>
        <v>10.112727272727271</v>
      </c>
      <c r="K89" s="7">
        <v>0</v>
      </c>
      <c r="L89" s="7">
        <v>1</v>
      </c>
      <c r="M89" s="7">
        <v>0</v>
      </c>
      <c r="N89" s="8">
        <f>K89/L89*M89</f>
        <v>0</v>
      </c>
      <c r="O89" s="8">
        <f>F89+J89+N89</f>
        <v>62.16945454545454</v>
      </c>
      <c r="P89" s="8">
        <f>O89*0.302</f>
        <v>18.77517527272727</v>
      </c>
      <c r="Q89" s="58">
        <f>(O89)*102%</f>
        <v>63.41284363636363</v>
      </c>
      <c r="R89" s="78">
        <v>1.2</v>
      </c>
      <c r="S89" s="79">
        <v>1.2</v>
      </c>
      <c r="T89" s="60">
        <f>S89</f>
        <v>1.2</v>
      </c>
      <c r="U89" s="9">
        <f>N89+O89+P89+Q89+T89</f>
        <v>145.55747345454543</v>
      </c>
      <c r="V89" s="8">
        <f>U89*25%</f>
        <v>36.38936836363636</v>
      </c>
      <c r="W89" s="52">
        <f>U89+V89</f>
        <v>181.94684181818178</v>
      </c>
      <c r="X89" s="22">
        <v>150</v>
      </c>
      <c r="Y89" s="7"/>
      <c r="Z89" s="20"/>
      <c r="AA89" s="4">
        <v>105</v>
      </c>
      <c r="AB89" s="4">
        <v>105</v>
      </c>
      <c r="AC89" s="14">
        <f>(100*W89)/AA89-100</f>
        <v>73.28270649350645</v>
      </c>
      <c r="AD89" s="56">
        <v>152.90873267532464</v>
      </c>
      <c r="AE89" s="17">
        <f t="shared" si="32"/>
        <v>1.189904844771126</v>
      </c>
    </row>
    <row r="90" spans="1:29" ht="36" customHeight="1">
      <c r="A90" s="43"/>
      <c r="B90" s="85" t="s">
        <v>135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  <c r="S90" s="87"/>
      <c r="T90" s="86"/>
      <c r="U90" s="86"/>
      <c r="V90" s="86"/>
      <c r="W90" s="88"/>
      <c r="X90" s="23"/>
      <c r="Y90" s="21"/>
      <c r="Z90" s="20"/>
      <c r="AC90" s="14"/>
    </row>
    <row r="91" spans="1:31" ht="15">
      <c r="A91" s="43" t="s">
        <v>530</v>
      </c>
      <c r="B91" s="31" t="s">
        <v>343</v>
      </c>
      <c r="C91" s="7">
        <v>572624</v>
      </c>
      <c r="D91" s="7">
        <v>1500</v>
      </c>
      <c r="E91" s="7">
        <v>8</v>
      </c>
      <c r="F91" s="8">
        <f aca="true" t="shared" si="36" ref="F91:F117">C91/D91/60*E91</f>
        <v>50.89991111111111</v>
      </c>
      <c r="G91" s="37">
        <v>389340</v>
      </c>
      <c r="H91" s="7">
        <v>1500</v>
      </c>
      <c r="I91" s="7">
        <v>3</v>
      </c>
      <c r="J91" s="8">
        <f t="shared" si="31"/>
        <v>12.977999999999998</v>
      </c>
      <c r="K91" s="7">
        <v>4357500</v>
      </c>
      <c r="L91" s="7">
        <v>846720</v>
      </c>
      <c r="M91" s="7">
        <v>3</v>
      </c>
      <c r="N91" s="8">
        <f aca="true" t="shared" si="37" ref="N91:N149">K91/L91*M91</f>
        <v>15.438988095238095</v>
      </c>
      <c r="O91" s="8">
        <f aca="true" t="shared" si="38" ref="O91:O117">F91+J91+N91</f>
        <v>79.3168992063492</v>
      </c>
      <c r="P91" s="8">
        <f>O91*0.302</f>
        <v>23.95370356031746</v>
      </c>
      <c r="Q91" s="58">
        <f>(O91)*102%</f>
        <v>80.90323719047619</v>
      </c>
      <c r="R91" s="78">
        <v>22</v>
      </c>
      <c r="S91" s="79">
        <v>22</v>
      </c>
      <c r="T91" s="21">
        <f aca="true" t="shared" si="39" ref="T91:T117">S91*1.15</f>
        <v>25.299999999999997</v>
      </c>
      <c r="U91" s="9">
        <f>N91+O91+P91+Q91+T91</f>
        <v>224.91282805238097</v>
      </c>
      <c r="V91" s="8">
        <f aca="true" t="shared" si="40" ref="V91:V108">U91*25%</f>
        <v>56.22820701309524</v>
      </c>
      <c r="W91" s="52">
        <f aca="true" t="shared" si="41" ref="W91:W117">U91+V91</f>
        <v>281.1410350654762</v>
      </c>
      <c r="X91" s="69">
        <f>Z91*1.15</f>
        <v>240.35</v>
      </c>
      <c r="Y91" s="7"/>
      <c r="Z91" s="20">
        <v>209</v>
      </c>
      <c r="AA91" s="4">
        <v>294</v>
      </c>
      <c r="AB91" s="4">
        <v>294</v>
      </c>
      <c r="AC91" s="14">
        <f t="shared" si="26"/>
        <v>-4.373797596776797</v>
      </c>
      <c r="AD91" s="56">
        <v>239.0086360654762</v>
      </c>
      <c r="AE91" s="17">
        <f t="shared" si="32"/>
        <v>1.1762798185604384</v>
      </c>
    </row>
    <row r="92" spans="1:31" ht="15">
      <c r="A92" s="43" t="s">
        <v>531</v>
      </c>
      <c r="B92" s="31" t="s">
        <v>86</v>
      </c>
      <c r="C92" s="7">
        <v>572624</v>
      </c>
      <c r="D92" s="7">
        <v>1500</v>
      </c>
      <c r="E92" s="7">
        <v>10</v>
      </c>
      <c r="F92" s="8">
        <f t="shared" si="36"/>
        <v>63.62488888888889</v>
      </c>
      <c r="G92" s="37">
        <v>389340</v>
      </c>
      <c r="H92" s="7">
        <v>1500</v>
      </c>
      <c r="I92" s="7">
        <v>7</v>
      </c>
      <c r="J92" s="8">
        <f t="shared" si="31"/>
        <v>30.281999999999996</v>
      </c>
      <c r="K92" s="7">
        <v>4357500</v>
      </c>
      <c r="L92" s="7">
        <v>846720</v>
      </c>
      <c r="M92" s="7">
        <v>5</v>
      </c>
      <c r="N92" s="8">
        <f t="shared" si="37"/>
        <v>25.731646825396822</v>
      </c>
      <c r="O92" s="8">
        <f t="shared" si="38"/>
        <v>119.63853571428571</v>
      </c>
      <c r="P92" s="8">
        <f>O92*0.302</f>
        <v>36.130837785714284</v>
      </c>
      <c r="Q92" s="58">
        <f aca="true" t="shared" si="42" ref="Q92:Q117">(O92)*102%</f>
        <v>122.03130642857143</v>
      </c>
      <c r="R92" s="78">
        <v>5.08</v>
      </c>
      <c r="S92" s="76">
        <v>5.08</v>
      </c>
      <c r="T92" s="21">
        <f t="shared" si="39"/>
        <v>5.842</v>
      </c>
      <c r="U92" s="9">
        <f aca="true" t="shared" si="43" ref="U92:U157">N92+O92+P92+Q92+T92</f>
        <v>309.3743267539682</v>
      </c>
      <c r="V92" s="8">
        <f t="shared" si="40"/>
        <v>77.34358168849205</v>
      </c>
      <c r="W92" s="52">
        <f t="shared" si="41"/>
        <v>386.71790844246027</v>
      </c>
      <c r="X92" s="69">
        <f aca="true" t="shared" si="44" ref="X92:X103">Z92*1.15</f>
        <v>327.75</v>
      </c>
      <c r="Y92" s="7"/>
      <c r="Z92" s="20">
        <v>285</v>
      </c>
      <c r="AA92" s="4">
        <v>262</v>
      </c>
      <c r="AB92" s="4">
        <v>262</v>
      </c>
      <c r="AC92" s="14">
        <f t="shared" si="26"/>
        <v>47.602255130710006</v>
      </c>
      <c r="AD92" s="56">
        <v>329.8389806424603</v>
      </c>
      <c r="AE92" s="17">
        <f t="shared" si="32"/>
        <v>1.1724445294161752</v>
      </c>
    </row>
    <row r="93" spans="1:31" ht="15">
      <c r="A93" s="43" t="s">
        <v>532</v>
      </c>
      <c r="B93" s="31" t="s">
        <v>87</v>
      </c>
      <c r="C93" s="7">
        <v>572624</v>
      </c>
      <c r="D93" s="7">
        <v>1500</v>
      </c>
      <c r="E93" s="7">
        <v>8</v>
      </c>
      <c r="F93" s="8">
        <f t="shared" si="36"/>
        <v>50.89991111111111</v>
      </c>
      <c r="G93" s="37">
        <v>389340</v>
      </c>
      <c r="H93" s="7">
        <v>1500</v>
      </c>
      <c r="I93" s="7">
        <v>2</v>
      </c>
      <c r="J93" s="8">
        <f t="shared" si="31"/>
        <v>8.652</v>
      </c>
      <c r="K93" s="7">
        <v>4357500</v>
      </c>
      <c r="L93" s="7">
        <v>846720</v>
      </c>
      <c r="M93" s="7">
        <v>4</v>
      </c>
      <c r="N93" s="8">
        <f t="shared" si="37"/>
        <v>20.58531746031746</v>
      </c>
      <c r="O93" s="8">
        <f t="shared" si="38"/>
        <v>80.13722857142857</v>
      </c>
      <c r="P93" s="8">
        <f aca="true" t="shared" si="45" ref="P93:P117">O93*0.302</f>
        <v>24.201443028571425</v>
      </c>
      <c r="Q93" s="58">
        <f t="shared" si="42"/>
        <v>81.73997314285714</v>
      </c>
      <c r="R93" s="78">
        <v>12.2</v>
      </c>
      <c r="S93" s="76">
        <v>12.2</v>
      </c>
      <c r="T93" s="21">
        <f t="shared" si="39"/>
        <v>14.029999999999998</v>
      </c>
      <c r="U93" s="9">
        <f t="shared" si="43"/>
        <v>220.69396220317458</v>
      </c>
      <c r="V93" s="8">
        <f t="shared" si="40"/>
        <v>55.173490550793645</v>
      </c>
      <c r="W93" s="52">
        <f t="shared" si="41"/>
        <v>275.8674527539682</v>
      </c>
      <c r="X93" s="69">
        <f t="shared" si="44"/>
        <v>240.35</v>
      </c>
      <c r="Y93" s="7"/>
      <c r="Z93" s="20">
        <v>209</v>
      </c>
      <c r="AA93" s="4">
        <v>185</v>
      </c>
      <c r="AB93" s="4">
        <v>185</v>
      </c>
      <c r="AC93" s="14">
        <f t="shared" si="26"/>
        <v>49.117542029172</v>
      </c>
      <c r="AD93" s="56">
        <v>239.2106891539682</v>
      </c>
      <c r="AE93" s="17">
        <f t="shared" si="32"/>
        <v>1.1532404915919368</v>
      </c>
    </row>
    <row r="94" spans="1:31" ht="15">
      <c r="A94" s="43" t="s">
        <v>533</v>
      </c>
      <c r="B94" s="31" t="s">
        <v>344</v>
      </c>
      <c r="C94" s="7">
        <v>572624</v>
      </c>
      <c r="D94" s="7">
        <v>1500</v>
      </c>
      <c r="E94" s="7">
        <v>10</v>
      </c>
      <c r="F94" s="8">
        <f t="shared" si="36"/>
        <v>63.62488888888889</v>
      </c>
      <c r="G94" s="37">
        <v>389340</v>
      </c>
      <c r="H94" s="7">
        <v>1500</v>
      </c>
      <c r="I94" s="7">
        <v>7</v>
      </c>
      <c r="J94" s="8">
        <f t="shared" si="31"/>
        <v>30.281999999999996</v>
      </c>
      <c r="K94" s="7">
        <v>4357500</v>
      </c>
      <c r="L94" s="7">
        <v>846720</v>
      </c>
      <c r="M94" s="7">
        <v>4</v>
      </c>
      <c r="N94" s="8">
        <f t="shared" si="37"/>
        <v>20.58531746031746</v>
      </c>
      <c r="O94" s="8">
        <f t="shared" si="38"/>
        <v>114.49220634920634</v>
      </c>
      <c r="P94" s="8">
        <f t="shared" si="45"/>
        <v>34.576646317460316</v>
      </c>
      <c r="Q94" s="58">
        <f t="shared" si="42"/>
        <v>116.78205047619048</v>
      </c>
      <c r="R94" s="78">
        <v>12</v>
      </c>
      <c r="S94" s="76">
        <v>12</v>
      </c>
      <c r="T94" s="21">
        <f t="shared" si="39"/>
        <v>13.799999999999999</v>
      </c>
      <c r="U94" s="9">
        <f t="shared" si="43"/>
        <v>300.2362206031746</v>
      </c>
      <c r="V94" s="8">
        <f t="shared" si="40"/>
        <v>75.05905515079365</v>
      </c>
      <c r="W94" s="52">
        <f t="shared" si="41"/>
        <v>375.29527575396827</v>
      </c>
      <c r="X94" s="69">
        <f t="shared" si="44"/>
        <v>327.75</v>
      </c>
      <c r="Y94" s="7"/>
      <c r="Z94" s="20">
        <v>285</v>
      </c>
      <c r="AA94" s="4">
        <v>294</v>
      </c>
      <c r="AB94" s="4">
        <v>294</v>
      </c>
      <c r="AC94" s="14">
        <f t="shared" si="26"/>
        <v>27.651454338084434</v>
      </c>
      <c r="AD94" s="56">
        <v>326.0369275539682</v>
      </c>
      <c r="AE94" s="17">
        <f t="shared" si="32"/>
        <v>1.1510821138254237</v>
      </c>
    </row>
    <row r="95" spans="1:31" ht="15">
      <c r="A95" s="43" t="s">
        <v>534</v>
      </c>
      <c r="B95" s="31" t="s">
        <v>118</v>
      </c>
      <c r="C95" s="7">
        <v>572624</v>
      </c>
      <c r="D95" s="7">
        <v>1500</v>
      </c>
      <c r="E95" s="7">
        <v>10</v>
      </c>
      <c r="F95" s="8">
        <f t="shared" si="36"/>
        <v>63.62488888888889</v>
      </c>
      <c r="G95" s="37">
        <v>389340</v>
      </c>
      <c r="H95" s="7">
        <v>1500</v>
      </c>
      <c r="I95" s="7">
        <v>7</v>
      </c>
      <c r="J95" s="8">
        <f t="shared" si="31"/>
        <v>30.281999999999996</v>
      </c>
      <c r="K95" s="7">
        <v>4357500</v>
      </c>
      <c r="L95" s="7">
        <v>846720</v>
      </c>
      <c r="M95" s="7">
        <v>4</v>
      </c>
      <c r="N95" s="8">
        <f t="shared" si="37"/>
        <v>20.58531746031746</v>
      </c>
      <c r="O95" s="8">
        <f t="shared" si="38"/>
        <v>114.49220634920634</v>
      </c>
      <c r="P95" s="8">
        <f t="shared" si="45"/>
        <v>34.576646317460316</v>
      </c>
      <c r="Q95" s="58">
        <f t="shared" si="42"/>
        <v>116.78205047619048</v>
      </c>
      <c r="R95" s="78">
        <v>12</v>
      </c>
      <c r="S95" s="76">
        <v>12</v>
      </c>
      <c r="T95" s="21">
        <f t="shared" si="39"/>
        <v>13.799999999999999</v>
      </c>
      <c r="U95" s="9">
        <f t="shared" si="43"/>
        <v>300.2362206031746</v>
      </c>
      <c r="V95" s="8">
        <f t="shared" si="40"/>
        <v>75.05905515079365</v>
      </c>
      <c r="W95" s="52">
        <f t="shared" si="41"/>
        <v>375.29527575396827</v>
      </c>
      <c r="X95" s="69">
        <f t="shared" si="44"/>
        <v>327.75</v>
      </c>
      <c r="Y95" s="7"/>
      <c r="Z95" s="20">
        <v>285</v>
      </c>
      <c r="AA95" s="4">
        <v>214</v>
      </c>
      <c r="AB95" s="4">
        <v>214</v>
      </c>
      <c r="AC95" s="14">
        <f t="shared" si="26"/>
        <v>75.3716241840973</v>
      </c>
      <c r="AD95" s="56">
        <v>326.0369275539682</v>
      </c>
      <c r="AE95" s="17">
        <f t="shared" si="32"/>
        <v>1.1510821138254237</v>
      </c>
    </row>
    <row r="96" spans="1:31" ht="15">
      <c r="A96" s="43" t="s">
        <v>535</v>
      </c>
      <c r="B96" s="31" t="s">
        <v>38</v>
      </c>
      <c r="C96" s="7">
        <v>572624</v>
      </c>
      <c r="D96" s="7">
        <v>1500</v>
      </c>
      <c r="E96" s="7">
        <v>4</v>
      </c>
      <c r="F96" s="8">
        <f t="shared" si="36"/>
        <v>25.449955555555555</v>
      </c>
      <c r="G96" s="37">
        <v>389340</v>
      </c>
      <c r="H96" s="7">
        <v>1500</v>
      </c>
      <c r="I96" s="7">
        <v>2</v>
      </c>
      <c r="J96" s="8">
        <f t="shared" si="31"/>
        <v>8.652</v>
      </c>
      <c r="K96" s="7">
        <v>4357500</v>
      </c>
      <c r="L96" s="7">
        <v>846720</v>
      </c>
      <c r="M96" s="7">
        <v>3</v>
      </c>
      <c r="N96" s="8">
        <f t="shared" si="37"/>
        <v>15.438988095238095</v>
      </c>
      <c r="O96" s="8">
        <f t="shared" si="38"/>
        <v>49.54094365079365</v>
      </c>
      <c r="P96" s="8">
        <f t="shared" si="45"/>
        <v>14.961364982539681</v>
      </c>
      <c r="Q96" s="58">
        <f t="shared" si="42"/>
        <v>50.531762523809526</v>
      </c>
      <c r="R96" s="78">
        <v>5.71</v>
      </c>
      <c r="S96" s="76">
        <v>5.71</v>
      </c>
      <c r="T96" s="21">
        <f t="shared" si="39"/>
        <v>6.5665</v>
      </c>
      <c r="U96" s="9">
        <f t="shared" si="43"/>
        <v>137.03955925238094</v>
      </c>
      <c r="V96" s="8">
        <f t="shared" si="40"/>
        <v>34.259889813095235</v>
      </c>
      <c r="W96" s="52">
        <f t="shared" si="41"/>
        <v>171.29944906547618</v>
      </c>
      <c r="X96" s="69">
        <f t="shared" si="44"/>
        <v>152.95</v>
      </c>
      <c r="Y96" s="7"/>
      <c r="Z96" s="20">
        <v>133</v>
      </c>
      <c r="AA96" s="4">
        <v>107</v>
      </c>
      <c r="AB96" s="4">
        <v>107</v>
      </c>
      <c r="AC96" s="14">
        <f t="shared" si="26"/>
        <v>60.0929430518469</v>
      </c>
      <c r="AD96" s="56">
        <v>149.4060568654762</v>
      </c>
      <c r="AE96" s="17">
        <f t="shared" si="32"/>
        <v>1.1465361757034562</v>
      </c>
    </row>
    <row r="97" spans="1:31" ht="15">
      <c r="A97" s="43" t="s">
        <v>536</v>
      </c>
      <c r="B97" s="31" t="s">
        <v>88</v>
      </c>
      <c r="C97" s="7">
        <v>572624</v>
      </c>
      <c r="D97" s="7">
        <v>1500</v>
      </c>
      <c r="E97" s="7">
        <v>8</v>
      </c>
      <c r="F97" s="8">
        <f t="shared" si="36"/>
        <v>50.89991111111111</v>
      </c>
      <c r="G97" s="37">
        <v>389340</v>
      </c>
      <c r="H97" s="7">
        <v>1500</v>
      </c>
      <c r="I97" s="7">
        <v>3</v>
      </c>
      <c r="J97" s="8">
        <f t="shared" si="31"/>
        <v>12.977999999999998</v>
      </c>
      <c r="K97" s="7">
        <v>4357500</v>
      </c>
      <c r="L97" s="7">
        <v>846720</v>
      </c>
      <c r="M97" s="7">
        <v>4</v>
      </c>
      <c r="N97" s="8">
        <f t="shared" si="37"/>
        <v>20.58531746031746</v>
      </c>
      <c r="O97" s="8">
        <f t="shared" si="38"/>
        <v>84.46322857142856</v>
      </c>
      <c r="P97" s="8">
        <f t="shared" si="45"/>
        <v>25.507895028571426</v>
      </c>
      <c r="Q97" s="58">
        <f t="shared" si="42"/>
        <v>86.15249314285713</v>
      </c>
      <c r="R97" s="78">
        <v>22</v>
      </c>
      <c r="S97" s="76">
        <v>22</v>
      </c>
      <c r="T97" s="21">
        <f t="shared" si="39"/>
        <v>25.299999999999997</v>
      </c>
      <c r="U97" s="9">
        <f t="shared" si="43"/>
        <v>242.0089342031746</v>
      </c>
      <c r="V97" s="8">
        <f t="shared" si="40"/>
        <v>60.50223355079365</v>
      </c>
      <c r="W97" s="52">
        <f t="shared" si="41"/>
        <v>302.51116775396827</v>
      </c>
      <c r="X97" s="69">
        <f t="shared" si="44"/>
        <v>259.9</v>
      </c>
      <c r="Y97" s="7"/>
      <c r="Z97" s="20">
        <v>226</v>
      </c>
      <c r="AA97" s="4">
        <v>214</v>
      </c>
      <c r="AB97" s="4">
        <v>214</v>
      </c>
      <c r="AC97" s="14">
        <f t="shared" si="26"/>
        <v>41.36035876353657</v>
      </c>
      <c r="AD97" s="56">
        <v>260.37876875396825</v>
      </c>
      <c r="AE97" s="17">
        <f t="shared" si="32"/>
        <v>1.161811960328497</v>
      </c>
    </row>
    <row r="98" spans="1:31" ht="15">
      <c r="A98" s="43" t="s">
        <v>537</v>
      </c>
      <c r="B98" s="31" t="s">
        <v>345</v>
      </c>
      <c r="C98" s="7">
        <v>572624</v>
      </c>
      <c r="D98" s="7">
        <v>1500</v>
      </c>
      <c r="E98" s="7">
        <v>10</v>
      </c>
      <c r="F98" s="8">
        <f t="shared" si="36"/>
        <v>63.62488888888889</v>
      </c>
      <c r="G98" s="37">
        <v>389340</v>
      </c>
      <c r="H98" s="7">
        <v>1500</v>
      </c>
      <c r="I98" s="7">
        <v>5</v>
      </c>
      <c r="J98" s="8">
        <f t="shared" si="31"/>
        <v>21.63</v>
      </c>
      <c r="K98" s="7">
        <v>4357500</v>
      </c>
      <c r="L98" s="7">
        <v>846720</v>
      </c>
      <c r="M98" s="7">
        <v>5</v>
      </c>
      <c r="N98" s="8">
        <f t="shared" si="37"/>
        <v>25.731646825396822</v>
      </c>
      <c r="O98" s="8">
        <f t="shared" si="38"/>
        <v>110.98653571428571</v>
      </c>
      <c r="P98" s="8">
        <f t="shared" si="45"/>
        <v>33.517933785714284</v>
      </c>
      <c r="Q98" s="58">
        <f t="shared" si="42"/>
        <v>113.20626642857142</v>
      </c>
      <c r="R98" s="78">
        <v>22</v>
      </c>
      <c r="S98" s="76">
        <v>22</v>
      </c>
      <c r="T98" s="21">
        <f t="shared" si="39"/>
        <v>25.299999999999997</v>
      </c>
      <c r="U98" s="9">
        <f t="shared" si="43"/>
        <v>308.74238275396823</v>
      </c>
      <c r="V98" s="8">
        <f t="shared" si="40"/>
        <v>77.18559568849206</v>
      </c>
      <c r="W98" s="52">
        <f t="shared" si="41"/>
        <v>385.9279784424603</v>
      </c>
      <c r="X98" s="69">
        <f>Z98*1.15</f>
        <v>327.75</v>
      </c>
      <c r="Y98" s="7"/>
      <c r="Z98" s="20">
        <v>285</v>
      </c>
      <c r="AA98" s="4">
        <v>294</v>
      </c>
      <c r="AB98" s="4">
        <v>294</v>
      </c>
      <c r="AC98" s="14">
        <f t="shared" si="26"/>
        <v>31.26801987838786</v>
      </c>
      <c r="AD98" s="56">
        <v>330.42741264246035</v>
      </c>
      <c r="AE98" s="17">
        <f t="shared" si="32"/>
        <v>1.1679659848925865</v>
      </c>
    </row>
    <row r="99" spans="1:31" ht="15">
      <c r="A99" s="43" t="s">
        <v>538</v>
      </c>
      <c r="B99" s="31" t="s">
        <v>346</v>
      </c>
      <c r="C99" s="7">
        <v>572624</v>
      </c>
      <c r="D99" s="7">
        <v>1500</v>
      </c>
      <c r="E99" s="7">
        <v>10</v>
      </c>
      <c r="F99" s="8">
        <f>C99/D99/60*E99</f>
        <v>63.62488888888889</v>
      </c>
      <c r="G99" s="37">
        <v>389340</v>
      </c>
      <c r="H99" s="7">
        <v>1500</v>
      </c>
      <c r="I99" s="7">
        <v>6</v>
      </c>
      <c r="J99" s="8">
        <f>G99/H99/60*I99</f>
        <v>25.955999999999996</v>
      </c>
      <c r="K99" s="7">
        <v>4357500</v>
      </c>
      <c r="L99" s="7">
        <v>846720</v>
      </c>
      <c r="M99" s="7">
        <v>4</v>
      </c>
      <c r="N99" s="8">
        <f t="shared" si="37"/>
        <v>20.58531746031746</v>
      </c>
      <c r="O99" s="8">
        <f t="shared" si="38"/>
        <v>110.16620634920635</v>
      </c>
      <c r="P99" s="8">
        <f t="shared" si="45"/>
        <v>33.270194317460316</v>
      </c>
      <c r="Q99" s="58">
        <f t="shared" si="42"/>
        <v>112.36953047619048</v>
      </c>
      <c r="R99" s="78">
        <v>22</v>
      </c>
      <c r="S99" s="76">
        <v>22</v>
      </c>
      <c r="T99" s="21">
        <f t="shared" si="39"/>
        <v>25.299999999999997</v>
      </c>
      <c r="U99" s="9">
        <f t="shared" si="43"/>
        <v>301.69124860317464</v>
      </c>
      <c r="V99" s="8">
        <f t="shared" si="40"/>
        <v>75.42281215079366</v>
      </c>
      <c r="W99" s="52">
        <f t="shared" si="41"/>
        <v>377.1140607539683</v>
      </c>
      <c r="X99" s="69">
        <f t="shared" si="44"/>
        <v>327.75</v>
      </c>
      <c r="Y99" s="7"/>
      <c r="Z99" s="20">
        <v>285</v>
      </c>
      <c r="AA99" s="4">
        <v>294</v>
      </c>
      <c r="AB99" s="4">
        <v>294</v>
      </c>
      <c r="AC99" s="14">
        <f t="shared" si="26"/>
        <v>28.270088691825947</v>
      </c>
      <c r="AD99" s="56">
        <v>328.25614355396823</v>
      </c>
      <c r="AE99" s="17">
        <f t="shared" si="32"/>
        <v>1.1488408310382998</v>
      </c>
    </row>
    <row r="100" spans="1:31" ht="15">
      <c r="A100" s="43" t="s">
        <v>539</v>
      </c>
      <c r="B100" s="31" t="s">
        <v>119</v>
      </c>
      <c r="C100" s="7">
        <v>572624</v>
      </c>
      <c r="D100" s="7">
        <v>1500</v>
      </c>
      <c r="E100" s="7">
        <v>10</v>
      </c>
      <c r="F100" s="8">
        <f t="shared" si="36"/>
        <v>63.62488888888889</v>
      </c>
      <c r="G100" s="37">
        <v>389340</v>
      </c>
      <c r="H100" s="7">
        <v>1500</v>
      </c>
      <c r="I100" s="7">
        <v>7</v>
      </c>
      <c r="J100" s="8">
        <f t="shared" si="31"/>
        <v>30.281999999999996</v>
      </c>
      <c r="K100" s="7">
        <v>4357500</v>
      </c>
      <c r="L100" s="7">
        <v>846720</v>
      </c>
      <c r="M100" s="7">
        <v>4</v>
      </c>
      <c r="N100" s="8">
        <f t="shared" si="37"/>
        <v>20.58531746031746</v>
      </c>
      <c r="O100" s="8">
        <f t="shared" si="38"/>
        <v>114.49220634920634</v>
      </c>
      <c r="P100" s="8">
        <f t="shared" si="45"/>
        <v>34.576646317460316</v>
      </c>
      <c r="Q100" s="58">
        <f t="shared" si="42"/>
        <v>116.78205047619048</v>
      </c>
      <c r="R100" s="78">
        <v>22</v>
      </c>
      <c r="S100" s="76">
        <v>22</v>
      </c>
      <c r="T100" s="21">
        <f t="shared" si="39"/>
        <v>25.299999999999997</v>
      </c>
      <c r="U100" s="9">
        <f t="shared" si="43"/>
        <v>311.7362206031746</v>
      </c>
      <c r="V100" s="8">
        <f t="shared" si="40"/>
        <v>77.93405515079365</v>
      </c>
      <c r="W100" s="52">
        <f t="shared" si="41"/>
        <v>389.67027575396827</v>
      </c>
      <c r="X100" s="69">
        <f t="shared" si="44"/>
        <v>327.75</v>
      </c>
      <c r="Y100" s="7"/>
      <c r="Z100" s="20">
        <v>285</v>
      </c>
      <c r="AA100" s="4">
        <v>294</v>
      </c>
      <c r="AB100" s="4">
        <v>294</v>
      </c>
      <c r="AC100" s="14">
        <f t="shared" si="26"/>
        <v>32.54091012039737</v>
      </c>
      <c r="AD100" s="56">
        <v>329.6188479539682</v>
      </c>
      <c r="AE100" s="17">
        <f t="shared" si="32"/>
        <v>1.1821844478031376</v>
      </c>
    </row>
    <row r="101" spans="1:31" ht="15">
      <c r="A101" s="43" t="s">
        <v>540</v>
      </c>
      <c r="B101" s="31" t="s">
        <v>120</v>
      </c>
      <c r="C101" s="7">
        <v>572624</v>
      </c>
      <c r="D101" s="7">
        <v>1500</v>
      </c>
      <c r="E101" s="7">
        <v>15</v>
      </c>
      <c r="F101" s="8">
        <f t="shared" si="36"/>
        <v>95.43733333333333</v>
      </c>
      <c r="G101" s="37">
        <v>389340</v>
      </c>
      <c r="H101" s="7">
        <v>1500</v>
      </c>
      <c r="I101" s="7">
        <v>12</v>
      </c>
      <c r="J101" s="8">
        <f t="shared" si="31"/>
        <v>51.91199999999999</v>
      </c>
      <c r="K101" s="7">
        <v>4357500</v>
      </c>
      <c r="L101" s="7">
        <v>846720</v>
      </c>
      <c r="M101" s="7">
        <v>10</v>
      </c>
      <c r="N101" s="8">
        <f t="shared" si="37"/>
        <v>51.463293650793645</v>
      </c>
      <c r="O101" s="8">
        <f t="shared" si="38"/>
        <v>198.81262698412698</v>
      </c>
      <c r="P101" s="8">
        <f t="shared" si="45"/>
        <v>60.041413349206344</v>
      </c>
      <c r="Q101" s="58">
        <f t="shared" si="42"/>
        <v>202.78887952380953</v>
      </c>
      <c r="R101" s="78">
        <f>22*3</f>
        <v>66</v>
      </c>
      <c r="S101" s="76">
        <v>66</v>
      </c>
      <c r="T101" s="21">
        <f t="shared" si="39"/>
        <v>75.89999999999999</v>
      </c>
      <c r="U101" s="9">
        <f t="shared" si="43"/>
        <v>589.0062135079364</v>
      </c>
      <c r="V101" s="8">
        <f t="shared" si="40"/>
        <v>147.2515533769841</v>
      </c>
      <c r="W101" s="52">
        <f t="shared" si="41"/>
        <v>736.2577668849206</v>
      </c>
      <c r="X101" s="69">
        <f t="shared" si="44"/>
        <v>627.9</v>
      </c>
      <c r="Y101" s="7"/>
      <c r="Z101" s="20">
        <v>546</v>
      </c>
      <c r="AA101" s="4">
        <v>570</v>
      </c>
      <c r="AB101" s="4">
        <v>570</v>
      </c>
      <c r="AC101" s="14">
        <f t="shared" si="26"/>
        <v>29.168029278056252</v>
      </c>
      <c r="AD101" s="56">
        <v>626.6701212849206</v>
      </c>
      <c r="AE101" s="17">
        <f t="shared" si="32"/>
        <v>1.1748729385331187</v>
      </c>
    </row>
    <row r="102" spans="1:31" ht="15">
      <c r="A102" s="43" t="s">
        <v>541</v>
      </c>
      <c r="B102" s="31" t="s">
        <v>121</v>
      </c>
      <c r="C102" s="7">
        <v>572624</v>
      </c>
      <c r="D102" s="7">
        <v>1500</v>
      </c>
      <c r="E102" s="7">
        <v>8</v>
      </c>
      <c r="F102" s="8">
        <f t="shared" si="36"/>
        <v>50.89991111111111</v>
      </c>
      <c r="G102" s="37">
        <v>389340</v>
      </c>
      <c r="H102" s="7">
        <v>1500</v>
      </c>
      <c r="I102" s="7">
        <v>4</v>
      </c>
      <c r="J102" s="8">
        <f t="shared" si="31"/>
        <v>17.304</v>
      </c>
      <c r="K102" s="7">
        <v>4357500</v>
      </c>
      <c r="L102" s="7">
        <v>846720</v>
      </c>
      <c r="M102" s="7">
        <v>5</v>
      </c>
      <c r="N102" s="8">
        <f t="shared" si="37"/>
        <v>25.731646825396822</v>
      </c>
      <c r="O102" s="8">
        <f t="shared" si="38"/>
        <v>93.93555793650793</v>
      </c>
      <c r="P102" s="8">
        <f t="shared" si="45"/>
        <v>28.368538496825394</v>
      </c>
      <c r="Q102" s="58">
        <f t="shared" si="42"/>
        <v>95.81426909523809</v>
      </c>
      <c r="R102" s="78">
        <v>22</v>
      </c>
      <c r="S102" s="76">
        <v>22</v>
      </c>
      <c r="T102" s="21">
        <f t="shared" si="39"/>
        <v>25.299999999999997</v>
      </c>
      <c r="U102" s="9">
        <f t="shared" si="43"/>
        <v>269.15001235396824</v>
      </c>
      <c r="V102" s="8">
        <f t="shared" si="40"/>
        <v>67.28750308849206</v>
      </c>
      <c r="W102" s="52">
        <f t="shared" si="41"/>
        <v>336.43751544246027</v>
      </c>
      <c r="X102" s="69">
        <f t="shared" si="44"/>
        <v>289.79999999999995</v>
      </c>
      <c r="Y102" s="7"/>
      <c r="Z102" s="20">
        <v>252</v>
      </c>
      <c r="AA102" s="4">
        <v>259</v>
      </c>
      <c r="AB102" s="4">
        <v>259</v>
      </c>
      <c r="AC102" s="14">
        <f t="shared" si="26"/>
        <v>29.89865461098853</v>
      </c>
      <c r="AD102" s="56">
        <v>290.6669810424603</v>
      </c>
      <c r="AE102" s="17">
        <f t="shared" si="32"/>
        <v>1.1574672645508155</v>
      </c>
    </row>
    <row r="103" spans="1:31" ht="15">
      <c r="A103" s="43" t="s">
        <v>542</v>
      </c>
      <c r="B103" s="31" t="s">
        <v>122</v>
      </c>
      <c r="C103" s="7">
        <v>572624</v>
      </c>
      <c r="D103" s="7">
        <v>1500</v>
      </c>
      <c r="E103" s="7">
        <v>11</v>
      </c>
      <c r="F103" s="8">
        <f t="shared" si="36"/>
        <v>69.98737777777778</v>
      </c>
      <c r="G103" s="37">
        <v>389340</v>
      </c>
      <c r="H103" s="7">
        <v>1500</v>
      </c>
      <c r="I103" s="7">
        <v>9</v>
      </c>
      <c r="J103" s="8">
        <f t="shared" si="31"/>
        <v>38.934</v>
      </c>
      <c r="K103" s="7">
        <v>4357500</v>
      </c>
      <c r="L103" s="7">
        <v>846720</v>
      </c>
      <c r="M103" s="7">
        <v>8</v>
      </c>
      <c r="N103" s="8">
        <f t="shared" si="37"/>
        <v>41.17063492063492</v>
      </c>
      <c r="O103" s="8">
        <f t="shared" si="38"/>
        <v>150.0920126984127</v>
      </c>
      <c r="P103" s="8">
        <f t="shared" si="45"/>
        <v>45.327787834920635</v>
      </c>
      <c r="Q103" s="58">
        <f t="shared" si="42"/>
        <v>153.09385295238096</v>
      </c>
      <c r="R103" s="78">
        <v>22</v>
      </c>
      <c r="S103" s="76">
        <v>22</v>
      </c>
      <c r="T103" s="21">
        <f t="shared" si="39"/>
        <v>25.299999999999997</v>
      </c>
      <c r="U103" s="9">
        <f t="shared" si="43"/>
        <v>414.9842884063492</v>
      </c>
      <c r="V103" s="8">
        <f t="shared" si="40"/>
        <v>103.7460721015873</v>
      </c>
      <c r="W103" s="52">
        <f t="shared" si="41"/>
        <v>518.7303605079366</v>
      </c>
      <c r="X103" s="69">
        <f t="shared" si="44"/>
        <v>442.74999999999994</v>
      </c>
      <c r="Y103" s="7"/>
      <c r="Z103" s="20">
        <v>385</v>
      </c>
      <c r="AA103" s="4">
        <v>409</v>
      </c>
      <c r="AB103" s="4">
        <v>409</v>
      </c>
      <c r="AC103" s="14">
        <f t="shared" si="26"/>
        <v>26.82893899949549</v>
      </c>
      <c r="AD103" s="56">
        <v>441.85361750793646</v>
      </c>
      <c r="AE103" s="17">
        <f t="shared" si="32"/>
        <v>1.1739869041552415</v>
      </c>
    </row>
    <row r="104" spans="1:31" ht="15">
      <c r="A104" s="43" t="s">
        <v>543</v>
      </c>
      <c r="B104" s="31" t="s">
        <v>125</v>
      </c>
      <c r="C104" s="7">
        <v>572624</v>
      </c>
      <c r="D104" s="7">
        <v>1500</v>
      </c>
      <c r="E104" s="7">
        <v>9</v>
      </c>
      <c r="F104" s="8">
        <f t="shared" si="36"/>
        <v>57.2624</v>
      </c>
      <c r="G104" s="37">
        <v>389340</v>
      </c>
      <c r="H104" s="7">
        <v>1500</v>
      </c>
      <c r="I104" s="7">
        <v>6</v>
      </c>
      <c r="J104" s="8">
        <f t="shared" si="31"/>
        <v>25.955999999999996</v>
      </c>
      <c r="K104" s="7">
        <v>4357500</v>
      </c>
      <c r="L104" s="7">
        <v>846720</v>
      </c>
      <c r="M104" s="7">
        <v>7</v>
      </c>
      <c r="N104" s="8">
        <f t="shared" si="37"/>
        <v>36.02430555555555</v>
      </c>
      <c r="O104" s="8">
        <f t="shared" si="38"/>
        <v>119.24270555555555</v>
      </c>
      <c r="P104" s="8">
        <f t="shared" si="45"/>
        <v>36.011297077777776</v>
      </c>
      <c r="Q104" s="58">
        <f t="shared" si="42"/>
        <v>121.62755966666666</v>
      </c>
      <c r="R104" s="78">
        <v>22</v>
      </c>
      <c r="S104" s="76">
        <v>22</v>
      </c>
      <c r="T104" s="21">
        <f t="shared" si="39"/>
        <v>25.299999999999997</v>
      </c>
      <c r="U104" s="9">
        <f t="shared" si="43"/>
        <v>338.20586785555554</v>
      </c>
      <c r="V104" s="8">
        <f t="shared" si="40"/>
        <v>84.55146696388888</v>
      </c>
      <c r="W104" s="52">
        <f t="shared" si="41"/>
        <v>422.7573348194444</v>
      </c>
      <c r="X104" s="69">
        <f>Z104*1.15</f>
        <v>365.7</v>
      </c>
      <c r="Y104" s="7"/>
      <c r="Z104" s="20">
        <v>318</v>
      </c>
      <c r="AA104" s="4">
        <v>329</v>
      </c>
      <c r="AB104" s="4">
        <v>329</v>
      </c>
      <c r="AC104" s="14">
        <f t="shared" si="26"/>
        <v>28.497670157885835</v>
      </c>
      <c r="AD104" s="56">
        <v>361.5241896194445</v>
      </c>
      <c r="AE104" s="17">
        <f t="shared" si="32"/>
        <v>1.1693749601221886</v>
      </c>
    </row>
    <row r="105" spans="1:31" ht="15">
      <c r="A105" s="43" t="s">
        <v>544</v>
      </c>
      <c r="B105" s="31" t="s">
        <v>123</v>
      </c>
      <c r="C105" s="7">
        <v>572624</v>
      </c>
      <c r="D105" s="7">
        <v>1500</v>
      </c>
      <c r="E105" s="7">
        <v>8</v>
      </c>
      <c r="F105" s="8">
        <f t="shared" si="36"/>
        <v>50.89991111111111</v>
      </c>
      <c r="G105" s="37">
        <v>389340</v>
      </c>
      <c r="H105" s="7">
        <v>1500</v>
      </c>
      <c r="I105" s="7">
        <v>2</v>
      </c>
      <c r="J105" s="8">
        <f t="shared" si="31"/>
        <v>8.652</v>
      </c>
      <c r="K105" s="7">
        <v>110000</v>
      </c>
      <c r="L105" s="7">
        <v>846720</v>
      </c>
      <c r="M105" s="7">
        <v>5</v>
      </c>
      <c r="N105" s="8">
        <f t="shared" si="37"/>
        <v>0.649565381708239</v>
      </c>
      <c r="O105" s="8">
        <f t="shared" si="38"/>
        <v>60.201476492819346</v>
      </c>
      <c r="P105" s="8">
        <f t="shared" si="45"/>
        <v>18.180845900831443</v>
      </c>
      <c r="Q105" s="58">
        <f t="shared" si="42"/>
        <v>61.40550602267573</v>
      </c>
      <c r="R105" s="78">
        <v>0.8</v>
      </c>
      <c r="S105" s="76">
        <v>0.8</v>
      </c>
      <c r="T105" s="21">
        <f t="shared" si="39"/>
        <v>0.9199999999999999</v>
      </c>
      <c r="U105" s="9">
        <f t="shared" si="43"/>
        <v>141.35739379803474</v>
      </c>
      <c r="V105" s="8">
        <f t="shared" si="40"/>
        <v>35.339348449508684</v>
      </c>
      <c r="W105" s="52">
        <f t="shared" si="41"/>
        <v>176.69674224754343</v>
      </c>
      <c r="X105" s="22">
        <v>150</v>
      </c>
      <c r="Y105" s="7"/>
      <c r="Z105" s="20">
        <v>142</v>
      </c>
      <c r="AA105" s="4">
        <v>102</v>
      </c>
      <c r="AB105" s="4">
        <v>102</v>
      </c>
      <c r="AC105" s="14">
        <f t="shared" si="26"/>
        <v>73.23210024268965</v>
      </c>
      <c r="AD105" s="56">
        <v>150.09555824754344</v>
      </c>
      <c r="AE105" s="17">
        <f t="shared" si="32"/>
        <v>1.1772283224805913</v>
      </c>
    </row>
    <row r="106" spans="1:31" ht="15">
      <c r="A106" s="43" t="s">
        <v>545</v>
      </c>
      <c r="B106" s="31" t="s">
        <v>124</v>
      </c>
      <c r="C106" s="7">
        <v>572624</v>
      </c>
      <c r="D106" s="7">
        <v>1500</v>
      </c>
      <c r="E106" s="7">
        <v>12</v>
      </c>
      <c r="F106" s="8">
        <f t="shared" si="36"/>
        <v>76.34986666666666</v>
      </c>
      <c r="G106" s="37">
        <v>389340</v>
      </c>
      <c r="H106" s="7">
        <v>1500</v>
      </c>
      <c r="I106" s="7">
        <v>5</v>
      </c>
      <c r="J106" s="8">
        <f aca="true" t="shared" si="46" ref="J106:J115">G106/H106/60*I106</f>
        <v>21.63</v>
      </c>
      <c r="K106" s="7">
        <v>4357500</v>
      </c>
      <c r="L106" s="7">
        <v>846720</v>
      </c>
      <c r="M106" s="7">
        <v>4</v>
      </c>
      <c r="N106" s="8">
        <f t="shared" si="37"/>
        <v>20.58531746031746</v>
      </c>
      <c r="O106" s="8">
        <f t="shared" si="38"/>
        <v>118.56518412698411</v>
      </c>
      <c r="P106" s="8">
        <f t="shared" si="45"/>
        <v>35.8066856063492</v>
      </c>
      <c r="Q106" s="58">
        <f t="shared" si="42"/>
        <v>120.9364878095238</v>
      </c>
      <c r="R106" s="78">
        <v>12</v>
      </c>
      <c r="S106" s="76">
        <v>12</v>
      </c>
      <c r="T106" s="21">
        <f t="shared" si="39"/>
        <v>13.799999999999999</v>
      </c>
      <c r="U106" s="9">
        <f t="shared" si="43"/>
        <v>309.6936750031746</v>
      </c>
      <c r="V106" s="8">
        <f t="shared" si="40"/>
        <v>77.42341875079364</v>
      </c>
      <c r="W106" s="52">
        <f t="shared" si="41"/>
        <v>387.1170937539682</v>
      </c>
      <c r="X106" s="69">
        <f>Z106*1.15</f>
        <v>327.75</v>
      </c>
      <c r="Y106" s="7"/>
      <c r="Z106" s="20">
        <v>285</v>
      </c>
      <c r="AA106" s="4">
        <v>294</v>
      </c>
      <c r="AB106" s="4">
        <v>294</v>
      </c>
      <c r="AC106" s="14">
        <f t="shared" si="26"/>
        <v>31.67248086869668</v>
      </c>
      <c r="AD106" s="56">
        <v>327.39963195396825</v>
      </c>
      <c r="AE106" s="17">
        <f t="shared" si="32"/>
        <v>1.1823992942313268</v>
      </c>
    </row>
    <row r="107" spans="1:31" ht="30">
      <c r="A107" s="43" t="s">
        <v>546</v>
      </c>
      <c r="B107" s="31" t="s">
        <v>126</v>
      </c>
      <c r="C107" s="7">
        <v>572624</v>
      </c>
      <c r="D107" s="7">
        <v>1500</v>
      </c>
      <c r="E107" s="7">
        <v>10</v>
      </c>
      <c r="F107" s="8">
        <f aca="true" t="shared" si="47" ref="F107:F115">C107/D107/60*E107</f>
        <v>63.62488888888889</v>
      </c>
      <c r="G107" s="37">
        <v>389340</v>
      </c>
      <c r="H107" s="7">
        <v>1500</v>
      </c>
      <c r="I107" s="7">
        <v>5</v>
      </c>
      <c r="J107" s="8">
        <f t="shared" si="46"/>
        <v>21.63</v>
      </c>
      <c r="K107" s="7">
        <v>4357500</v>
      </c>
      <c r="L107" s="7">
        <v>846720</v>
      </c>
      <c r="M107" s="7">
        <v>6</v>
      </c>
      <c r="N107" s="8">
        <f t="shared" si="37"/>
        <v>30.87797619047619</v>
      </c>
      <c r="O107" s="8">
        <f t="shared" si="38"/>
        <v>116.13286507936508</v>
      </c>
      <c r="P107" s="8">
        <f t="shared" si="45"/>
        <v>35.07212525396825</v>
      </c>
      <c r="Q107" s="58">
        <f t="shared" si="42"/>
        <v>118.45552238095237</v>
      </c>
      <c r="R107" s="78">
        <v>5.08</v>
      </c>
      <c r="S107" s="76">
        <v>5.08</v>
      </c>
      <c r="T107" s="21">
        <f t="shared" si="39"/>
        <v>5.842</v>
      </c>
      <c r="U107" s="9">
        <f t="shared" si="43"/>
        <v>306.3804889047618</v>
      </c>
      <c r="V107" s="8">
        <f t="shared" si="40"/>
        <v>76.59512222619045</v>
      </c>
      <c r="W107" s="52">
        <f t="shared" si="41"/>
        <v>382.9756111309523</v>
      </c>
      <c r="X107" s="69">
        <f aca="true" t="shared" si="48" ref="X107:X117">Z107*1.15</f>
        <v>327.75</v>
      </c>
      <c r="Y107" s="7"/>
      <c r="Z107" s="20">
        <v>285</v>
      </c>
      <c r="AA107" s="4">
        <v>294</v>
      </c>
      <c r="AB107" s="4">
        <v>294</v>
      </c>
      <c r="AC107" s="14">
        <f t="shared" si="26"/>
        <v>30.263813309847734</v>
      </c>
      <c r="AD107" s="56">
        <v>332.01024973095235</v>
      </c>
      <c r="AE107" s="17">
        <f t="shared" si="32"/>
        <v>1.1535053855755966</v>
      </c>
    </row>
    <row r="108" spans="1:31" ht="30">
      <c r="A108" s="43" t="s">
        <v>547</v>
      </c>
      <c r="B108" s="31" t="s">
        <v>127</v>
      </c>
      <c r="C108" s="7">
        <v>572624</v>
      </c>
      <c r="D108" s="7">
        <v>1500</v>
      </c>
      <c r="E108" s="7">
        <v>15</v>
      </c>
      <c r="F108" s="8">
        <f t="shared" si="47"/>
        <v>95.43733333333333</v>
      </c>
      <c r="G108" s="37">
        <v>389340</v>
      </c>
      <c r="H108" s="7">
        <v>1500</v>
      </c>
      <c r="I108" s="7">
        <v>11</v>
      </c>
      <c r="J108" s="8">
        <f t="shared" si="46"/>
        <v>47.586</v>
      </c>
      <c r="K108" s="7">
        <v>4357500</v>
      </c>
      <c r="L108" s="7">
        <v>846720</v>
      </c>
      <c r="M108" s="7">
        <v>11</v>
      </c>
      <c r="N108" s="8">
        <f t="shared" si="37"/>
        <v>56.60962301587301</v>
      </c>
      <c r="O108" s="8">
        <f t="shared" si="38"/>
        <v>199.63295634920632</v>
      </c>
      <c r="P108" s="8">
        <f t="shared" si="45"/>
        <v>60.289152817460305</v>
      </c>
      <c r="Q108" s="58">
        <f t="shared" si="42"/>
        <v>203.62561547619046</v>
      </c>
      <c r="R108" s="78">
        <f>12.2*2</f>
        <v>24.4</v>
      </c>
      <c r="S108" s="76">
        <v>24.4</v>
      </c>
      <c r="T108" s="21">
        <f t="shared" si="39"/>
        <v>28.059999999999995</v>
      </c>
      <c r="U108" s="9">
        <f t="shared" si="43"/>
        <v>548.2173476587301</v>
      </c>
      <c r="V108" s="8">
        <f t="shared" si="40"/>
        <v>137.05433691468252</v>
      </c>
      <c r="W108" s="52">
        <f t="shared" si="41"/>
        <v>685.2716845734126</v>
      </c>
      <c r="X108" s="69">
        <f t="shared" si="48"/>
        <v>589.9499999999999</v>
      </c>
      <c r="Y108" s="7"/>
      <c r="Z108" s="20">
        <v>513</v>
      </c>
      <c r="AA108" s="4">
        <v>535</v>
      </c>
      <c r="AB108" s="4">
        <v>535</v>
      </c>
      <c r="AC108" s="14">
        <f t="shared" si="26"/>
        <v>28.088165340824787</v>
      </c>
      <c r="AD108" s="56">
        <v>596.0402539734126</v>
      </c>
      <c r="AE108" s="17">
        <f t="shared" si="32"/>
        <v>1.1497070541882903</v>
      </c>
    </row>
    <row r="109" spans="1:31" ht="15">
      <c r="A109" s="43" t="s">
        <v>548</v>
      </c>
      <c r="B109" s="31" t="s">
        <v>211</v>
      </c>
      <c r="C109" s="7">
        <v>572624</v>
      </c>
      <c r="D109" s="7">
        <v>1500</v>
      </c>
      <c r="E109" s="7">
        <v>8</v>
      </c>
      <c r="F109" s="8">
        <f t="shared" si="47"/>
        <v>50.89991111111111</v>
      </c>
      <c r="G109" s="37">
        <v>389340</v>
      </c>
      <c r="H109" s="7">
        <v>1500</v>
      </c>
      <c r="I109" s="7">
        <v>3</v>
      </c>
      <c r="J109" s="8">
        <f t="shared" si="46"/>
        <v>12.977999999999998</v>
      </c>
      <c r="K109" s="7">
        <v>4357500</v>
      </c>
      <c r="L109" s="7">
        <v>846720</v>
      </c>
      <c r="M109" s="7">
        <v>4</v>
      </c>
      <c r="N109" s="8">
        <f t="shared" si="37"/>
        <v>20.58531746031746</v>
      </c>
      <c r="O109" s="8">
        <f t="shared" si="38"/>
        <v>84.46322857142856</v>
      </c>
      <c r="P109" s="8">
        <f t="shared" si="45"/>
        <v>25.507895028571426</v>
      </c>
      <c r="Q109" s="58">
        <f t="shared" si="42"/>
        <v>86.15249314285713</v>
      </c>
      <c r="R109" s="78">
        <v>5.08</v>
      </c>
      <c r="S109" s="76">
        <v>5.08</v>
      </c>
      <c r="T109" s="21">
        <f t="shared" si="39"/>
        <v>5.842</v>
      </c>
      <c r="U109" s="9">
        <f t="shared" si="43"/>
        <v>222.5509342031746</v>
      </c>
      <c r="V109" s="8">
        <f aca="true" t="shared" si="49" ref="V109:V115">U109*25%</f>
        <v>55.63773355079365</v>
      </c>
      <c r="W109" s="52">
        <f t="shared" si="41"/>
        <v>278.1886677539682</v>
      </c>
      <c r="X109" s="69">
        <f t="shared" si="48"/>
        <v>240.35</v>
      </c>
      <c r="Y109" s="7"/>
      <c r="Z109" s="20">
        <v>209</v>
      </c>
      <c r="AB109" s="4">
        <v>185</v>
      </c>
      <c r="AC109" s="14"/>
      <c r="AD109" s="56">
        <v>239.22876875396824</v>
      </c>
      <c r="AE109" s="17">
        <f t="shared" si="32"/>
        <v>1.1628562451034798</v>
      </c>
    </row>
    <row r="110" spans="1:31" ht="30">
      <c r="A110" s="43" t="s">
        <v>549</v>
      </c>
      <c r="B110" s="31" t="s">
        <v>212</v>
      </c>
      <c r="C110" s="7">
        <v>572624</v>
      </c>
      <c r="D110" s="7">
        <v>1500</v>
      </c>
      <c r="E110" s="7">
        <v>9</v>
      </c>
      <c r="F110" s="8">
        <f t="shared" si="47"/>
        <v>57.2624</v>
      </c>
      <c r="G110" s="37">
        <v>389340</v>
      </c>
      <c r="H110" s="7">
        <v>1500</v>
      </c>
      <c r="I110" s="7">
        <v>4</v>
      </c>
      <c r="J110" s="8">
        <f t="shared" si="46"/>
        <v>17.304</v>
      </c>
      <c r="K110" s="7">
        <v>4357500</v>
      </c>
      <c r="L110" s="7">
        <v>846720</v>
      </c>
      <c r="M110" s="7">
        <v>5</v>
      </c>
      <c r="N110" s="8">
        <f t="shared" si="37"/>
        <v>25.731646825396822</v>
      </c>
      <c r="O110" s="8">
        <f t="shared" si="38"/>
        <v>100.29804682539682</v>
      </c>
      <c r="P110" s="8">
        <f t="shared" si="45"/>
        <v>30.29001014126984</v>
      </c>
      <c r="Q110" s="58">
        <f t="shared" si="42"/>
        <v>102.30400776190476</v>
      </c>
      <c r="R110" s="78">
        <f>22*2</f>
        <v>44</v>
      </c>
      <c r="S110" s="76">
        <v>44</v>
      </c>
      <c r="T110" s="21">
        <f t="shared" si="39"/>
        <v>50.599999999999994</v>
      </c>
      <c r="U110" s="9">
        <f>N110+O110+P110+Q110+T110</f>
        <v>309.2237115539682</v>
      </c>
      <c r="V110" s="8">
        <f t="shared" si="49"/>
        <v>77.30592788849205</v>
      </c>
      <c r="W110" s="52">
        <f t="shared" si="41"/>
        <v>386.5296394424603</v>
      </c>
      <c r="X110" s="69">
        <f t="shared" si="48"/>
        <v>327.75</v>
      </c>
      <c r="Y110" s="7"/>
      <c r="Z110" s="20">
        <v>285</v>
      </c>
      <c r="AB110" s="4">
        <v>294</v>
      </c>
      <c r="AC110" s="14"/>
      <c r="AD110" s="56">
        <v>329.8104694424603</v>
      </c>
      <c r="AE110" s="17">
        <f t="shared" si="32"/>
        <v>1.171975044018108</v>
      </c>
    </row>
    <row r="111" spans="1:31" ht="26.25" customHeight="1">
      <c r="A111" s="43" t="s">
        <v>550</v>
      </c>
      <c r="B111" s="31" t="s">
        <v>213</v>
      </c>
      <c r="C111" s="7">
        <v>572624</v>
      </c>
      <c r="D111" s="7">
        <v>1500</v>
      </c>
      <c r="E111" s="7">
        <v>5</v>
      </c>
      <c r="F111" s="8">
        <f t="shared" si="47"/>
        <v>31.812444444444445</v>
      </c>
      <c r="G111" s="37">
        <v>389340</v>
      </c>
      <c r="H111" s="7">
        <v>1500</v>
      </c>
      <c r="I111" s="7">
        <v>3</v>
      </c>
      <c r="J111" s="8">
        <f t="shared" si="46"/>
        <v>12.977999999999998</v>
      </c>
      <c r="K111" s="7">
        <v>4357500</v>
      </c>
      <c r="L111" s="7">
        <v>846720</v>
      </c>
      <c r="M111" s="7">
        <v>3</v>
      </c>
      <c r="N111" s="8">
        <f t="shared" si="37"/>
        <v>15.438988095238095</v>
      </c>
      <c r="O111" s="8">
        <f t="shared" si="38"/>
        <v>60.22943253968254</v>
      </c>
      <c r="P111" s="8">
        <f t="shared" si="45"/>
        <v>18.189288626984126</v>
      </c>
      <c r="Q111" s="58">
        <f t="shared" si="42"/>
        <v>61.434021190476194</v>
      </c>
      <c r="R111" s="78">
        <v>21</v>
      </c>
      <c r="S111" s="76">
        <v>21</v>
      </c>
      <c r="T111" s="21">
        <f t="shared" si="39"/>
        <v>24.15</v>
      </c>
      <c r="U111" s="9">
        <f t="shared" si="43"/>
        <v>179.44173045238097</v>
      </c>
      <c r="V111" s="8">
        <f t="shared" si="49"/>
        <v>44.86043261309524</v>
      </c>
      <c r="W111" s="52">
        <f t="shared" si="41"/>
        <v>224.3021630654762</v>
      </c>
      <c r="X111" s="69">
        <f t="shared" si="48"/>
        <v>187.45</v>
      </c>
      <c r="Y111" s="7"/>
      <c r="Z111" s="20">
        <v>163</v>
      </c>
      <c r="AB111" s="4">
        <v>150</v>
      </c>
      <c r="AC111" s="14"/>
      <c r="AD111" s="56">
        <v>187.71742046547618</v>
      </c>
      <c r="AE111" s="17">
        <f t="shared" si="32"/>
        <v>1.1948926344144415</v>
      </c>
    </row>
    <row r="112" spans="1:31" ht="30">
      <c r="A112" s="43" t="s">
        <v>551</v>
      </c>
      <c r="B112" s="31" t="s">
        <v>214</v>
      </c>
      <c r="C112" s="7">
        <v>572624</v>
      </c>
      <c r="D112" s="7">
        <v>1500</v>
      </c>
      <c r="E112" s="7">
        <v>9</v>
      </c>
      <c r="F112" s="8">
        <f t="shared" si="47"/>
        <v>57.2624</v>
      </c>
      <c r="G112" s="37">
        <v>389340</v>
      </c>
      <c r="H112" s="7">
        <v>1500</v>
      </c>
      <c r="I112" s="7">
        <v>4</v>
      </c>
      <c r="J112" s="8">
        <f t="shared" si="46"/>
        <v>17.304</v>
      </c>
      <c r="K112" s="7">
        <v>4357500</v>
      </c>
      <c r="L112" s="7">
        <v>846720</v>
      </c>
      <c r="M112" s="7">
        <v>7</v>
      </c>
      <c r="N112" s="8">
        <f t="shared" si="37"/>
        <v>36.02430555555555</v>
      </c>
      <c r="O112" s="8">
        <f t="shared" si="38"/>
        <v>110.59070555555556</v>
      </c>
      <c r="P112" s="8">
        <f t="shared" si="45"/>
        <v>33.398393077777776</v>
      </c>
      <c r="Q112" s="58">
        <f t="shared" si="42"/>
        <v>112.80251966666667</v>
      </c>
      <c r="R112" s="78">
        <v>12</v>
      </c>
      <c r="S112" s="76">
        <v>12</v>
      </c>
      <c r="T112" s="21">
        <f t="shared" si="39"/>
        <v>13.799999999999999</v>
      </c>
      <c r="U112" s="9">
        <f t="shared" si="43"/>
        <v>306.61592385555554</v>
      </c>
      <c r="V112" s="8">
        <f t="shared" si="49"/>
        <v>76.65398096388888</v>
      </c>
      <c r="W112" s="52">
        <f t="shared" si="41"/>
        <v>383.26990481944443</v>
      </c>
      <c r="X112" s="69">
        <f t="shared" si="48"/>
        <v>327.75</v>
      </c>
      <c r="Y112" s="7"/>
      <c r="Z112" s="20">
        <v>285</v>
      </c>
      <c r="AB112" s="4">
        <v>200</v>
      </c>
      <c r="AC112" s="14"/>
      <c r="AD112" s="56">
        <v>328.46262161944435</v>
      </c>
      <c r="AE112" s="17">
        <f t="shared" si="32"/>
        <v>1.1668600309215689</v>
      </c>
    </row>
    <row r="113" spans="1:31" ht="30">
      <c r="A113" s="43" t="s">
        <v>552</v>
      </c>
      <c r="B113" s="31" t="s">
        <v>215</v>
      </c>
      <c r="C113" s="7">
        <v>572624</v>
      </c>
      <c r="D113" s="7">
        <v>1500</v>
      </c>
      <c r="E113" s="7">
        <v>15</v>
      </c>
      <c r="F113" s="8">
        <f t="shared" si="47"/>
        <v>95.43733333333333</v>
      </c>
      <c r="G113" s="37">
        <v>389340</v>
      </c>
      <c r="H113" s="7">
        <v>1500</v>
      </c>
      <c r="I113" s="7">
        <v>8</v>
      </c>
      <c r="J113" s="8">
        <f t="shared" si="46"/>
        <v>34.608</v>
      </c>
      <c r="K113" s="7">
        <v>4357500</v>
      </c>
      <c r="L113" s="7">
        <v>846720</v>
      </c>
      <c r="M113" s="7">
        <v>8</v>
      </c>
      <c r="N113" s="8">
        <f t="shared" si="37"/>
        <v>41.17063492063492</v>
      </c>
      <c r="O113" s="8">
        <f t="shared" si="38"/>
        <v>171.21596825396824</v>
      </c>
      <c r="P113" s="8">
        <f t="shared" si="45"/>
        <v>51.70722241269841</v>
      </c>
      <c r="Q113" s="58">
        <f t="shared" si="42"/>
        <v>174.6402876190476</v>
      </c>
      <c r="R113" s="78">
        <f>12*2</f>
        <v>24</v>
      </c>
      <c r="S113" s="76">
        <v>24</v>
      </c>
      <c r="T113" s="21">
        <f t="shared" si="39"/>
        <v>27.599999999999998</v>
      </c>
      <c r="U113" s="9">
        <f t="shared" si="43"/>
        <v>466.33411320634923</v>
      </c>
      <c r="V113" s="8">
        <f t="shared" si="49"/>
        <v>116.58352830158731</v>
      </c>
      <c r="W113" s="52">
        <f t="shared" si="41"/>
        <v>582.9176415079365</v>
      </c>
      <c r="X113" s="69">
        <f t="shared" si="48"/>
        <v>502.54999999999995</v>
      </c>
      <c r="Y113" s="7"/>
      <c r="Z113" s="20">
        <v>437</v>
      </c>
      <c r="AB113" s="4">
        <v>400</v>
      </c>
      <c r="AC113" s="14"/>
      <c r="AD113" s="56">
        <v>495.75753750793643</v>
      </c>
      <c r="AE113" s="17">
        <f t="shared" si="32"/>
        <v>1.1758119592858531</v>
      </c>
    </row>
    <row r="114" spans="1:31" ht="30">
      <c r="A114" s="43" t="s">
        <v>553</v>
      </c>
      <c r="B114" s="31" t="s">
        <v>216</v>
      </c>
      <c r="C114" s="7">
        <v>572624</v>
      </c>
      <c r="D114" s="7">
        <v>1500</v>
      </c>
      <c r="E114" s="7">
        <v>9</v>
      </c>
      <c r="F114" s="8">
        <f t="shared" si="47"/>
        <v>57.2624</v>
      </c>
      <c r="G114" s="37">
        <v>389340</v>
      </c>
      <c r="H114" s="7">
        <v>1500</v>
      </c>
      <c r="I114" s="7">
        <v>6</v>
      </c>
      <c r="J114" s="8">
        <f t="shared" si="46"/>
        <v>25.955999999999996</v>
      </c>
      <c r="K114" s="7">
        <v>4357500</v>
      </c>
      <c r="L114" s="7">
        <v>846720</v>
      </c>
      <c r="M114" s="7">
        <v>6</v>
      </c>
      <c r="N114" s="8">
        <f t="shared" si="37"/>
        <v>30.87797619047619</v>
      </c>
      <c r="O114" s="8">
        <f t="shared" si="38"/>
        <v>114.09637619047619</v>
      </c>
      <c r="P114" s="8">
        <f t="shared" si="45"/>
        <v>34.45710560952381</v>
      </c>
      <c r="Q114" s="58">
        <f t="shared" si="42"/>
        <v>116.37830371428572</v>
      </c>
      <c r="R114" s="78">
        <v>12</v>
      </c>
      <c r="S114" s="76">
        <v>12</v>
      </c>
      <c r="T114" s="21">
        <f t="shared" si="39"/>
        <v>13.799999999999999</v>
      </c>
      <c r="U114" s="9">
        <f t="shared" si="43"/>
        <v>309.6097617047619</v>
      </c>
      <c r="V114" s="8">
        <f t="shared" si="49"/>
        <v>77.40244042619048</v>
      </c>
      <c r="W114" s="52">
        <f t="shared" si="41"/>
        <v>387.0122021309524</v>
      </c>
      <c r="X114" s="69">
        <f>Z114*1.15</f>
        <v>327.75</v>
      </c>
      <c r="Y114" s="7"/>
      <c r="Z114" s="20">
        <v>285</v>
      </c>
      <c r="AB114" s="4">
        <v>200</v>
      </c>
      <c r="AC114" s="14"/>
      <c r="AD114" s="56">
        <v>327.6540569309524</v>
      </c>
      <c r="AE114" s="17">
        <f t="shared" si="32"/>
        <v>1.1811610262237917</v>
      </c>
    </row>
    <row r="115" spans="1:31" ht="30">
      <c r="A115" s="43" t="s">
        <v>554</v>
      </c>
      <c r="B115" s="31" t="s">
        <v>217</v>
      </c>
      <c r="C115" s="7">
        <v>572624</v>
      </c>
      <c r="D115" s="7">
        <v>1500</v>
      </c>
      <c r="E115" s="7">
        <v>12</v>
      </c>
      <c r="F115" s="8">
        <f t="shared" si="47"/>
        <v>76.34986666666666</v>
      </c>
      <c r="G115" s="37">
        <v>389340</v>
      </c>
      <c r="H115" s="7">
        <v>1500</v>
      </c>
      <c r="I115" s="7">
        <v>10</v>
      </c>
      <c r="J115" s="8">
        <f t="shared" si="46"/>
        <v>43.26</v>
      </c>
      <c r="K115" s="7">
        <v>4357500</v>
      </c>
      <c r="L115" s="7">
        <v>846720</v>
      </c>
      <c r="M115" s="7">
        <v>10</v>
      </c>
      <c r="N115" s="8">
        <f t="shared" si="37"/>
        <v>51.463293650793645</v>
      </c>
      <c r="O115" s="8">
        <f t="shared" si="38"/>
        <v>171.0731603174603</v>
      </c>
      <c r="P115" s="8">
        <f t="shared" si="45"/>
        <v>51.66409441587301</v>
      </c>
      <c r="Q115" s="58">
        <f t="shared" si="42"/>
        <v>174.4946235238095</v>
      </c>
      <c r="R115" s="78">
        <v>24</v>
      </c>
      <c r="S115" s="76">
        <v>24</v>
      </c>
      <c r="T115" s="21">
        <f t="shared" si="39"/>
        <v>27.599999999999998</v>
      </c>
      <c r="U115" s="9">
        <f t="shared" si="43"/>
        <v>476.2951719079365</v>
      </c>
      <c r="V115" s="8">
        <f t="shared" si="49"/>
        <v>119.07379297698412</v>
      </c>
      <c r="W115" s="52">
        <f t="shared" si="41"/>
        <v>595.3689648849206</v>
      </c>
      <c r="X115" s="69">
        <f t="shared" si="48"/>
        <v>502.54999999999995</v>
      </c>
      <c r="Y115" s="7"/>
      <c r="Z115" s="20">
        <v>437</v>
      </c>
      <c r="AB115" s="4">
        <v>400</v>
      </c>
      <c r="AC115" s="14"/>
      <c r="AD115" s="56">
        <v>504.9300420849207</v>
      </c>
      <c r="AE115" s="17">
        <f t="shared" si="32"/>
        <v>1.1791117882916335</v>
      </c>
    </row>
    <row r="116" spans="1:31" ht="15">
      <c r="A116" s="43" t="s">
        <v>555</v>
      </c>
      <c r="B116" s="31" t="s">
        <v>347</v>
      </c>
      <c r="C116" s="7">
        <v>572624</v>
      </c>
      <c r="D116" s="7">
        <v>1500</v>
      </c>
      <c r="E116" s="7">
        <v>10</v>
      </c>
      <c r="F116" s="8">
        <f>C116/D116/60*E116</f>
        <v>63.62488888888889</v>
      </c>
      <c r="G116" s="37">
        <v>389340</v>
      </c>
      <c r="H116" s="7">
        <v>1500</v>
      </c>
      <c r="I116" s="7">
        <v>6</v>
      </c>
      <c r="J116" s="8">
        <f>G116/H116/60*I116</f>
        <v>25.955999999999996</v>
      </c>
      <c r="K116" s="7">
        <v>4357500</v>
      </c>
      <c r="L116" s="7">
        <v>846720</v>
      </c>
      <c r="M116" s="7">
        <v>8</v>
      </c>
      <c r="N116" s="8">
        <f t="shared" si="37"/>
        <v>41.17063492063492</v>
      </c>
      <c r="O116" s="8">
        <f t="shared" si="38"/>
        <v>130.7515238095238</v>
      </c>
      <c r="P116" s="8">
        <f t="shared" si="45"/>
        <v>39.48696019047619</v>
      </c>
      <c r="Q116" s="58">
        <f t="shared" si="42"/>
        <v>133.36655428571427</v>
      </c>
      <c r="R116" s="78">
        <v>12.2</v>
      </c>
      <c r="S116" s="76">
        <v>12.2</v>
      </c>
      <c r="T116" s="21">
        <f t="shared" si="39"/>
        <v>14.029999999999998</v>
      </c>
      <c r="U116" s="9">
        <f t="shared" si="43"/>
        <v>358.8056732063492</v>
      </c>
      <c r="V116" s="8">
        <f>U116*25%</f>
        <v>89.7014183015873</v>
      </c>
      <c r="W116" s="52">
        <f t="shared" si="41"/>
        <v>448.5070915079365</v>
      </c>
      <c r="X116" s="69">
        <f t="shared" si="48"/>
        <v>377.2</v>
      </c>
      <c r="Y116" s="7"/>
      <c r="Z116" s="20">
        <v>328</v>
      </c>
      <c r="AB116" s="4">
        <v>300</v>
      </c>
      <c r="AC116" s="14"/>
      <c r="AD116" s="56">
        <v>378.19969750793643</v>
      </c>
      <c r="AE116" s="17">
        <f t="shared" si="32"/>
        <v>1.1859001857042064</v>
      </c>
    </row>
    <row r="117" spans="1:31" ht="15">
      <c r="A117" s="43" t="s">
        <v>556</v>
      </c>
      <c r="B117" s="31" t="s">
        <v>11</v>
      </c>
      <c r="C117" s="7">
        <v>572624</v>
      </c>
      <c r="D117" s="7">
        <v>1500</v>
      </c>
      <c r="E117" s="7">
        <v>5</v>
      </c>
      <c r="F117" s="8">
        <f t="shared" si="36"/>
        <v>31.812444444444445</v>
      </c>
      <c r="G117" s="37">
        <v>389340</v>
      </c>
      <c r="H117" s="7">
        <v>1500</v>
      </c>
      <c r="I117" s="7">
        <v>3</v>
      </c>
      <c r="J117" s="8">
        <f aca="true" t="shared" si="50" ref="J117:J138">G117/H117/60*I117</f>
        <v>12.977999999999998</v>
      </c>
      <c r="K117" s="7">
        <v>2941176</v>
      </c>
      <c r="L117" s="7">
        <v>846720</v>
      </c>
      <c r="M117" s="7">
        <v>5</v>
      </c>
      <c r="N117" s="8">
        <f t="shared" si="37"/>
        <v>17.368055555555554</v>
      </c>
      <c r="O117" s="8">
        <f t="shared" si="38"/>
        <v>62.158500000000004</v>
      </c>
      <c r="P117" s="8">
        <f t="shared" si="45"/>
        <v>18.771867</v>
      </c>
      <c r="Q117" s="58">
        <f t="shared" si="42"/>
        <v>63.40167</v>
      </c>
      <c r="R117" s="78">
        <v>2.5</v>
      </c>
      <c r="S117" s="79">
        <v>2.5</v>
      </c>
      <c r="T117" s="21">
        <f t="shared" si="39"/>
        <v>2.875</v>
      </c>
      <c r="U117" s="9">
        <f t="shared" si="43"/>
        <v>164.57509255555556</v>
      </c>
      <c r="V117" s="8">
        <f>U117*25%</f>
        <v>41.14377313888889</v>
      </c>
      <c r="W117" s="52">
        <f t="shared" si="41"/>
        <v>205.71886569444445</v>
      </c>
      <c r="X117" s="69">
        <f t="shared" si="48"/>
        <v>177.1</v>
      </c>
      <c r="Y117" s="7"/>
      <c r="Z117" s="20">
        <v>154</v>
      </c>
      <c r="AA117" s="4">
        <v>146</v>
      </c>
      <c r="AB117" s="4">
        <v>146</v>
      </c>
      <c r="AC117" s="14">
        <f aca="true" t="shared" si="51" ref="AC117:AC178">(100*W117)/AA117-100</f>
        <v>40.90333266742769</v>
      </c>
      <c r="AD117" s="56">
        <v>178.39595269444445</v>
      </c>
      <c r="AE117" s="17">
        <f t="shared" si="32"/>
        <v>1.1531588165948952</v>
      </c>
    </row>
    <row r="118" spans="1:31" s="6" customFormat="1" ht="15">
      <c r="A118" s="43"/>
      <c r="B118" s="85" t="s">
        <v>136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7"/>
      <c r="S118" s="87"/>
      <c r="T118" s="86"/>
      <c r="U118" s="86"/>
      <c r="V118" s="86"/>
      <c r="W118" s="88"/>
      <c r="X118" s="23"/>
      <c r="Y118" s="21"/>
      <c r="Z118" s="20"/>
      <c r="AA118" s="4"/>
      <c r="AB118" s="4"/>
      <c r="AC118" s="14"/>
      <c r="AD118" s="66"/>
      <c r="AE118" s="17"/>
    </row>
    <row r="119" spans="1:31" ht="15">
      <c r="A119" s="43" t="s">
        <v>557</v>
      </c>
      <c r="B119" s="31" t="s">
        <v>68</v>
      </c>
      <c r="C119" s="7">
        <v>572624</v>
      </c>
      <c r="D119" s="7">
        <v>1925</v>
      </c>
      <c r="E119" s="7">
        <v>30</v>
      </c>
      <c r="F119" s="8">
        <f aca="true" t="shared" si="52" ref="F119:F131">C119/D119/60*E119</f>
        <v>148.7335064935065</v>
      </c>
      <c r="G119" s="37">
        <v>389340</v>
      </c>
      <c r="H119" s="7">
        <v>1925</v>
      </c>
      <c r="I119" s="7">
        <v>30</v>
      </c>
      <c r="J119" s="8">
        <f t="shared" si="50"/>
        <v>101.12727272727273</v>
      </c>
      <c r="K119" s="7">
        <v>510082</v>
      </c>
      <c r="L119" s="7">
        <v>846720</v>
      </c>
      <c r="M119" s="7">
        <v>40</v>
      </c>
      <c r="N119" s="8">
        <f t="shared" si="37"/>
        <v>24.096844293272866</v>
      </c>
      <c r="O119" s="8">
        <f aca="true" t="shared" si="53" ref="O119:O147">F119+J119+N119</f>
        <v>273.9576235140521</v>
      </c>
      <c r="P119" s="8">
        <f>O119*0.302</f>
        <v>82.73520230124373</v>
      </c>
      <c r="Q119" s="58">
        <f>(O119)*102%</f>
        <v>279.43677598433317</v>
      </c>
      <c r="R119" s="78">
        <f>55+13.64+5+11*6+2.3+14*4+0.22*30+13.64</f>
        <v>218.18</v>
      </c>
      <c r="S119" s="79">
        <v>218.18</v>
      </c>
      <c r="T119" s="16">
        <f>S119*1.1</f>
        <v>239.99800000000002</v>
      </c>
      <c r="U119" s="9">
        <f t="shared" si="43"/>
        <v>900.2244460929019</v>
      </c>
      <c r="V119" s="8">
        <f aca="true" t="shared" si="54" ref="V119:V138">U119*25%</f>
        <v>225.05611152322547</v>
      </c>
      <c r="W119" s="52">
        <f aca="true" t="shared" si="55" ref="W119:W147">U119+V119</f>
        <v>1125.2805576161272</v>
      </c>
      <c r="X119" s="22">
        <v>1200</v>
      </c>
      <c r="Y119" s="7"/>
      <c r="Z119" s="20">
        <v>695</v>
      </c>
      <c r="AA119" s="4">
        <v>587</v>
      </c>
      <c r="AC119" s="14">
        <f t="shared" si="51"/>
        <v>91.70026535198079</v>
      </c>
      <c r="AD119" s="56">
        <v>977.3257765771664</v>
      </c>
      <c r="AE119" s="17">
        <f t="shared" si="32"/>
        <v>1.1513873721382184</v>
      </c>
    </row>
    <row r="120" spans="1:31" ht="15">
      <c r="A120" s="43" t="s">
        <v>558</v>
      </c>
      <c r="B120" s="31" t="s">
        <v>69</v>
      </c>
      <c r="C120" s="7">
        <v>572624</v>
      </c>
      <c r="D120" s="7">
        <v>1925</v>
      </c>
      <c r="E120" s="7">
        <v>40</v>
      </c>
      <c r="F120" s="8">
        <f t="shared" si="52"/>
        <v>198.311341991342</v>
      </c>
      <c r="G120" s="37">
        <v>389340</v>
      </c>
      <c r="H120" s="7">
        <v>1925</v>
      </c>
      <c r="I120" s="7">
        <v>35</v>
      </c>
      <c r="J120" s="8">
        <f aca="true" t="shared" si="56" ref="J120:J125">G120/H120/60*I120</f>
        <v>117.98181818181817</v>
      </c>
      <c r="K120" s="7">
        <v>510082</v>
      </c>
      <c r="L120" s="7">
        <v>846720</v>
      </c>
      <c r="M120" s="7">
        <v>50</v>
      </c>
      <c r="N120" s="8">
        <f t="shared" si="37"/>
        <v>30.121055366591083</v>
      </c>
      <c r="O120" s="8">
        <f t="shared" si="53"/>
        <v>346.41421553975124</v>
      </c>
      <c r="P120" s="8">
        <f>O120*0.302</f>
        <v>104.61709309300487</v>
      </c>
      <c r="Q120" s="58">
        <f aca="true" t="shared" si="57" ref="Q120:Q165">(O120)*102%</f>
        <v>353.3424998505463</v>
      </c>
      <c r="R120" s="78">
        <f>55+13.64+5+11*6+2.3+14*4+0.22*30+13.64</f>
        <v>218.18</v>
      </c>
      <c r="S120" s="76">
        <v>218.18</v>
      </c>
      <c r="T120" s="16">
        <f aca="true" t="shared" si="58" ref="T120:T165">S120*1.1</f>
        <v>239.99800000000002</v>
      </c>
      <c r="U120" s="9">
        <f t="shared" si="43"/>
        <v>1074.4928638498934</v>
      </c>
      <c r="V120" s="8">
        <f>U120*25%</f>
        <v>268.62321596247335</v>
      </c>
      <c r="W120" s="52">
        <f t="shared" si="55"/>
        <v>1343.1160798123667</v>
      </c>
      <c r="X120" s="22">
        <v>1400</v>
      </c>
      <c r="Y120" s="7"/>
      <c r="Z120" s="20">
        <v>907</v>
      </c>
      <c r="AC120" s="14"/>
      <c r="AD120" s="56">
        <v>1153.4759707214575</v>
      </c>
      <c r="AE120" s="17">
        <f t="shared" si="32"/>
        <v>1.1644075073122642</v>
      </c>
    </row>
    <row r="121" spans="1:31" ht="15">
      <c r="A121" s="43" t="s">
        <v>559</v>
      </c>
      <c r="B121" s="31" t="s">
        <v>447</v>
      </c>
      <c r="C121" s="7">
        <v>572624</v>
      </c>
      <c r="D121" s="7">
        <v>1925</v>
      </c>
      <c r="E121" s="7">
        <v>20</v>
      </c>
      <c r="F121" s="8">
        <f t="shared" si="52"/>
        <v>99.155670995671</v>
      </c>
      <c r="G121" s="37">
        <v>389340</v>
      </c>
      <c r="H121" s="7">
        <v>1925</v>
      </c>
      <c r="I121" s="7">
        <v>20</v>
      </c>
      <c r="J121" s="8">
        <f t="shared" si="56"/>
        <v>67.41818181818181</v>
      </c>
      <c r="K121" s="7">
        <f>'[2]Лист1'!$O$179</f>
        <v>68500</v>
      </c>
      <c r="L121" s="7">
        <v>846720</v>
      </c>
      <c r="M121" s="7">
        <v>25</v>
      </c>
      <c r="N121" s="8">
        <f t="shared" si="37"/>
        <v>2.0225103930461072</v>
      </c>
      <c r="O121" s="8">
        <f t="shared" si="53"/>
        <v>168.5963632068989</v>
      </c>
      <c r="P121" s="8">
        <f aca="true" t="shared" si="59" ref="P121:P165">O121*0.302</f>
        <v>50.916101688483465</v>
      </c>
      <c r="Q121" s="58">
        <f t="shared" si="57"/>
        <v>171.96829047103688</v>
      </c>
      <c r="R121" s="78">
        <f>1.99+13.64</f>
        <v>15.63</v>
      </c>
      <c r="S121" s="76">
        <v>15.63</v>
      </c>
      <c r="T121" s="21">
        <f t="shared" si="58"/>
        <v>17.193</v>
      </c>
      <c r="U121" s="9">
        <f t="shared" si="43"/>
        <v>410.69626575946535</v>
      </c>
      <c r="V121" s="8">
        <f t="shared" si="54"/>
        <v>102.67406643986634</v>
      </c>
      <c r="W121" s="52">
        <f t="shared" si="55"/>
        <v>513.3703321993316</v>
      </c>
      <c r="X121" s="22">
        <v>436</v>
      </c>
      <c r="Y121" s="7">
        <v>600</v>
      </c>
      <c r="Z121" s="20">
        <v>436</v>
      </c>
      <c r="AA121" s="4">
        <v>365</v>
      </c>
      <c r="AC121" s="14">
        <f t="shared" si="51"/>
        <v>40.64940608200865</v>
      </c>
      <c r="AD121" s="56">
        <v>445.82762116037077</v>
      </c>
      <c r="AE121" s="17">
        <f t="shared" si="32"/>
        <v>1.1514996106862225</v>
      </c>
    </row>
    <row r="122" spans="1:31" ht="15">
      <c r="A122" s="43" t="s">
        <v>560</v>
      </c>
      <c r="B122" s="31" t="s">
        <v>72</v>
      </c>
      <c r="C122" s="7">
        <v>572624</v>
      </c>
      <c r="D122" s="7">
        <v>1925</v>
      </c>
      <c r="E122" s="7">
        <v>15</v>
      </c>
      <c r="F122" s="8">
        <f t="shared" si="52"/>
        <v>74.36675324675325</v>
      </c>
      <c r="G122" s="37">
        <v>389340</v>
      </c>
      <c r="H122" s="7">
        <v>1925</v>
      </c>
      <c r="I122" s="7">
        <v>10</v>
      </c>
      <c r="J122" s="8">
        <f t="shared" si="56"/>
        <v>33.709090909090904</v>
      </c>
      <c r="K122" s="7">
        <v>99860</v>
      </c>
      <c r="L122" s="7">
        <v>846720</v>
      </c>
      <c r="M122" s="7">
        <v>16</v>
      </c>
      <c r="N122" s="8">
        <f t="shared" si="37"/>
        <v>1.8869992441421013</v>
      </c>
      <c r="O122" s="8">
        <f t="shared" si="53"/>
        <v>109.96284339998626</v>
      </c>
      <c r="P122" s="8">
        <f t="shared" si="59"/>
        <v>33.20877870679585</v>
      </c>
      <c r="Q122" s="58">
        <f t="shared" si="57"/>
        <v>112.16210026798598</v>
      </c>
      <c r="R122" s="78">
        <f>0.38*5+0.83*3+13.64+1.99</f>
        <v>20.02</v>
      </c>
      <c r="S122" s="76">
        <v>20.02</v>
      </c>
      <c r="T122" s="21">
        <f t="shared" si="58"/>
        <v>22.022000000000002</v>
      </c>
      <c r="U122" s="9">
        <f t="shared" si="43"/>
        <v>279.24272161891014</v>
      </c>
      <c r="V122" s="8">
        <f>U122*25%</f>
        <v>69.81068040472753</v>
      </c>
      <c r="W122" s="52">
        <f t="shared" si="55"/>
        <v>349.05340202363766</v>
      </c>
      <c r="X122" s="22">
        <v>300</v>
      </c>
      <c r="Y122" s="7">
        <v>400</v>
      </c>
      <c r="Z122" s="20">
        <v>228</v>
      </c>
      <c r="AA122" s="4">
        <v>195</v>
      </c>
      <c r="AB122" s="4">
        <v>220</v>
      </c>
      <c r="AC122" s="14">
        <f t="shared" si="51"/>
        <v>79.0017446275065</v>
      </c>
      <c r="AD122" s="56">
        <v>299.6177534522092</v>
      </c>
      <c r="AE122" s="17">
        <f t="shared" si="32"/>
        <v>1.164995725392867</v>
      </c>
    </row>
    <row r="123" spans="1:31" ht="15">
      <c r="A123" s="43" t="s">
        <v>561</v>
      </c>
      <c r="B123" s="31" t="s">
        <v>307</v>
      </c>
      <c r="C123" s="7">
        <v>572624</v>
      </c>
      <c r="D123" s="7">
        <v>1925</v>
      </c>
      <c r="E123" s="7">
        <v>17</v>
      </c>
      <c r="F123" s="8">
        <f>C123/D123/60*E123</f>
        <v>84.28232034632036</v>
      </c>
      <c r="G123" s="37">
        <v>389340</v>
      </c>
      <c r="H123" s="7">
        <v>1925</v>
      </c>
      <c r="I123" s="7">
        <v>11</v>
      </c>
      <c r="J123" s="8">
        <f t="shared" si="56"/>
        <v>37.08</v>
      </c>
      <c r="K123" s="7">
        <v>99860</v>
      </c>
      <c r="L123" s="7">
        <v>846720</v>
      </c>
      <c r="M123" s="7">
        <v>13</v>
      </c>
      <c r="N123" s="8">
        <f t="shared" si="37"/>
        <v>1.5331868858654574</v>
      </c>
      <c r="O123" s="8">
        <f t="shared" si="53"/>
        <v>122.89550723218582</v>
      </c>
      <c r="P123" s="8">
        <f t="shared" si="59"/>
        <v>37.11444318412012</v>
      </c>
      <c r="Q123" s="58">
        <f t="shared" si="57"/>
        <v>125.35341737682954</v>
      </c>
      <c r="R123" s="78">
        <f>0.38*5+0.83*5+13.64+1.99</f>
        <v>21.679999999999996</v>
      </c>
      <c r="S123" s="76">
        <v>21.679999999999996</v>
      </c>
      <c r="T123" s="21">
        <f t="shared" si="58"/>
        <v>23.848</v>
      </c>
      <c r="U123" s="9">
        <f t="shared" si="43"/>
        <v>310.74455467900094</v>
      </c>
      <c r="V123" s="8">
        <f>U123*25%</f>
        <v>77.68613866975024</v>
      </c>
      <c r="W123" s="52">
        <f t="shared" si="55"/>
        <v>388.43069334875116</v>
      </c>
      <c r="X123" s="22"/>
      <c r="Y123" s="7">
        <v>450</v>
      </c>
      <c r="Z123" s="20">
        <v>249</v>
      </c>
      <c r="AB123" s="4">
        <v>250</v>
      </c>
      <c r="AC123" s="14"/>
      <c r="AD123" s="56">
        <v>333.17608498511476</v>
      </c>
      <c r="AE123" s="17">
        <f t="shared" si="32"/>
        <v>1.1658420602610329</v>
      </c>
    </row>
    <row r="124" spans="1:31" ht="15">
      <c r="A124" s="43" t="s">
        <v>562</v>
      </c>
      <c r="B124" s="31" t="s">
        <v>308</v>
      </c>
      <c r="C124" s="7">
        <v>572624</v>
      </c>
      <c r="D124" s="7">
        <v>1925</v>
      </c>
      <c r="E124" s="7">
        <v>20</v>
      </c>
      <c r="F124" s="8">
        <f>C124/D124/60*E124</f>
        <v>99.155670995671</v>
      </c>
      <c r="G124" s="37">
        <v>389340</v>
      </c>
      <c r="H124" s="7">
        <v>1925</v>
      </c>
      <c r="I124" s="7">
        <v>14</v>
      </c>
      <c r="J124" s="8">
        <f t="shared" si="56"/>
        <v>47.19272727272727</v>
      </c>
      <c r="K124" s="7">
        <v>99860</v>
      </c>
      <c r="L124" s="7">
        <v>846720</v>
      </c>
      <c r="M124" s="7">
        <v>15</v>
      </c>
      <c r="N124" s="8">
        <f t="shared" si="37"/>
        <v>1.76906179138322</v>
      </c>
      <c r="O124" s="8">
        <f t="shared" si="53"/>
        <v>148.1174600597815</v>
      </c>
      <c r="P124" s="8">
        <f t="shared" si="59"/>
        <v>44.73147293805401</v>
      </c>
      <c r="Q124" s="58">
        <f t="shared" si="57"/>
        <v>151.07980926097713</v>
      </c>
      <c r="R124" s="78">
        <f>2+0.38*5+0.83*3+13.64+1.99+0.38*5+0.83*3+1.99+0.38*5+0.83*3+1.99+0.38*5+0.83*3+1.99</f>
        <v>41.16</v>
      </c>
      <c r="S124" s="76">
        <v>41.16</v>
      </c>
      <c r="T124" s="21">
        <f t="shared" si="58"/>
        <v>45.276</v>
      </c>
      <c r="U124" s="9">
        <f t="shared" si="43"/>
        <v>390.9738040501959</v>
      </c>
      <c r="V124" s="8">
        <f>U124*25%</f>
        <v>97.74345101254897</v>
      </c>
      <c r="W124" s="52">
        <f t="shared" si="55"/>
        <v>488.71725506274487</v>
      </c>
      <c r="X124" s="22">
        <v>500</v>
      </c>
      <c r="Y124" s="7"/>
      <c r="Z124" s="20">
        <v>334</v>
      </c>
      <c r="AB124" s="4">
        <v>250</v>
      </c>
      <c r="AC124" s="14"/>
      <c r="AD124" s="56">
        <v>419.8679538679396</v>
      </c>
      <c r="AE124" s="17">
        <f t="shared" si="32"/>
        <v>1.1639784617057494</v>
      </c>
    </row>
    <row r="125" spans="1:31" ht="15">
      <c r="A125" s="43" t="s">
        <v>563</v>
      </c>
      <c r="B125" s="31" t="s">
        <v>309</v>
      </c>
      <c r="C125" s="7">
        <v>572624</v>
      </c>
      <c r="D125" s="7">
        <v>1925</v>
      </c>
      <c r="E125" s="7">
        <v>20</v>
      </c>
      <c r="F125" s="8">
        <f>C125/D125/60*E125</f>
        <v>99.155670995671</v>
      </c>
      <c r="G125" s="37">
        <v>389340</v>
      </c>
      <c r="H125" s="7">
        <v>1925</v>
      </c>
      <c r="I125" s="7">
        <v>10</v>
      </c>
      <c r="J125" s="8">
        <f t="shared" si="56"/>
        <v>33.709090909090904</v>
      </c>
      <c r="K125" s="7">
        <v>99860</v>
      </c>
      <c r="L125" s="7">
        <v>846720</v>
      </c>
      <c r="M125" s="7">
        <v>20</v>
      </c>
      <c r="N125" s="8">
        <f t="shared" si="37"/>
        <v>2.3587490551776265</v>
      </c>
      <c r="O125" s="8">
        <f t="shared" si="53"/>
        <v>135.22351095993955</v>
      </c>
      <c r="P125" s="8">
        <f t="shared" si="59"/>
        <v>40.83750030990174</v>
      </c>
      <c r="Q125" s="58">
        <f t="shared" si="57"/>
        <v>137.92798117913833</v>
      </c>
      <c r="R125" s="78">
        <f>0.38*10+0.83*3+13.64+1.99</f>
        <v>21.919999999999998</v>
      </c>
      <c r="S125" s="76">
        <v>21.919999999999998</v>
      </c>
      <c r="T125" s="21">
        <f t="shared" si="58"/>
        <v>24.112</v>
      </c>
      <c r="U125" s="9">
        <f t="shared" si="43"/>
        <v>340.4597415041573</v>
      </c>
      <c r="V125" s="8">
        <f>U125*25%</f>
        <v>85.11493537603933</v>
      </c>
      <c r="W125" s="52">
        <f t="shared" si="55"/>
        <v>425.57467688019665</v>
      </c>
      <c r="X125" s="22">
        <v>400</v>
      </c>
      <c r="Y125" s="7"/>
      <c r="Z125" s="20">
        <v>334</v>
      </c>
      <c r="AB125" s="4">
        <v>250</v>
      </c>
      <c r="AC125" s="14"/>
      <c r="AD125" s="56">
        <v>369.8567692438329</v>
      </c>
      <c r="AE125" s="17">
        <f t="shared" si="32"/>
        <v>1.1506472566401265</v>
      </c>
    </row>
    <row r="126" spans="1:31" ht="15">
      <c r="A126" s="43" t="s">
        <v>564</v>
      </c>
      <c r="B126" s="31" t="s">
        <v>73</v>
      </c>
      <c r="C126" s="7">
        <v>572624</v>
      </c>
      <c r="D126" s="7">
        <v>1925</v>
      </c>
      <c r="E126" s="7">
        <v>50</v>
      </c>
      <c r="F126" s="8">
        <f t="shared" si="52"/>
        <v>247.8891774891775</v>
      </c>
      <c r="G126" s="37">
        <v>389340</v>
      </c>
      <c r="H126" s="7">
        <v>1925</v>
      </c>
      <c r="I126" s="7">
        <v>45</v>
      </c>
      <c r="J126" s="8">
        <f t="shared" si="50"/>
        <v>151.6909090909091</v>
      </c>
      <c r="K126" s="7">
        <v>99860</v>
      </c>
      <c r="L126" s="7">
        <v>846720</v>
      </c>
      <c r="M126" s="7">
        <v>60</v>
      </c>
      <c r="N126" s="8">
        <f t="shared" si="37"/>
        <v>7.07624716553288</v>
      </c>
      <c r="O126" s="8">
        <f t="shared" si="53"/>
        <v>406.65633374561946</v>
      </c>
      <c r="P126" s="8">
        <f t="shared" si="59"/>
        <v>122.81021279117708</v>
      </c>
      <c r="Q126" s="58">
        <f t="shared" si="57"/>
        <v>414.78946042053184</v>
      </c>
      <c r="R126" s="78">
        <f>R122+32</f>
        <v>52.019999999999996</v>
      </c>
      <c r="S126" s="76">
        <v>52.019999999999996</v>
      </c>
      <c r="T126" s="21">
        <f t="shared" si="58"/>
        <v>57.222</v>
      </c>
      <c r="U126" s="9">
        <f t="shared" si="43"/>
        <v>1008.5542541228613</v>
      </c>
      <c r="V126" s="8">
        <f t="shared" si="54"/>
        <v>252.13856353071532</v>
      </c>
      <c r="W126" s="52">
        <f t="shared" si="55"/>
        <v>1260.6928176535766</v>
      </c>
      <c r="X126" s="22"/>
      <c r="Y126" s="7"/>
      <c r="Z126" s="20">
        <v>913</v>
      </c>
      <c r="AA126" s="4">
        <v>752</v>
      </c>
      <c r="AC126" s="14">
        <f t="shared" si="51"/>
        <v>67.64532149648625</v>
      </c>
      <c r="AD126" s="56">
        <v>1001.2170623289012</v>
      </c>
      <c r="AE126" s="17">
        <f t="shared" si="32"/>
        <v>1.2591603410364547</v>
      </c>
    </row>
    <row r="127" spans="1:31" ht="15">
      <c r="A127" s="43" t="s">
        <v>565</v>
      </c>
      <c r="B127" s="31" t="s">
        <v>348</v>
      </c>
      <c r="C127" s="7">
        <v>572624</v>
      </c>
      <c r="D127" s="7">
        <v>1925</v>
      </c>
      <c r="E127" s="7">
        <v>26</v>
      </c>
      <c r="F127" s="8">
        <f t="shared" si="52"/>
        <v>128.9023722943723</v>
      </c>
      <c r="G127" s="37">
        <v>389340</v>
      </c>
      <c r="H127" s="7">
        <v>1925</v>
      </c>
      <c r="I127" s="7">
        <v>25</v>
      </c>
      <c r="J127" s="8">
        <f t="shared" si="50"/>
        <v>84.27272727272727</v>
      </c>
      <c r="K127" s="20">
        <v>131493.6</v>
      </c>
      <c r="L127" s="7">
        <v>846720</v>
      </c>
      <c r="M127" s="7">
        <v>35</v>
      </c>
      <c r="N127" s="8">
        <f t="shared" si="37"/>
        <v>5.435416666666667</v>
      </c>
      <c r="O127" s="8">
        <f t="shared" si="53"/>
        <v>218.61051623376622</v>
      </c>
      <c r="P127" s="8">
        <f t="shared" si="59"/>
        <v>66.0203759025974</v>
      </c>
      <c r="Q127" s="58">
        <f t="shared" si="57"/>
        <v>222.98272655844156</v>
      </c>
      <c r="R127" s="78">
        <f>13.64+0.83*6+0.15*5</f>
        <v>19.37</v>
      </c>
      <c r="S127" s="76">
        <v>19.37</v>
      </c>
      <c r="T127" s="21">
        <f t="shared" si="58"/>
        <v>21.307000000000002</v>
      </c>
      <c r="U127" s="9">
        <f t="shared" si="43"/>
        <v>534.3560353614719</v>
      </c>
      <c r="V127" s="8">
        <f t="shared" si="54"/>
        <v>133.58900884036797</v>
      </c>
      <c r="W127" s="52">
        <f t="shared" si="55"/>
        <v>667.9450442018399</v>
      </c>
      <c r="X127" s="22"/>
      <c r="Y127" s="7"/>
      <c r="Z127" s="20">
        <v>507</v>
      </c>
      <c r="AA127" s="4">
        <v>399</v>
      </c>
      <c r="AC127" s="14">
        <f t="shared" si="51"/>
        <v>67.40477298291728</v>
      </c>
      <c r="AD127" s="56">
        <v>575.7543695265151</v>
      </c>
      <c r="AE127" s="17">
        <f t="shared" si="32"/>
        <v>1.160121537160265</v>
      </c>
    </row>
    <row r="128" spans="1:31" ht="30">
      <c r="A128" s="43" t="s">
        <v>566</v>
      </c>
      <c r="B128" s="31" t="s">
        <v>349</v>
      </c>
      <c r="C128" s="7">
        <v>572624</v>
      </c>
      <c r="D128" s="7">
        <v>1925</v>
      </c>
      <c r="E128" s="7">
        <v>32</v>
      </c>
      <c r="F128" s="8">
        <f>C128/D128/60*E128</f>
        <v>158.6490735930736</v>
      </c>
      <c r="G128" s="37">
        <v>389340</v>
      </c>
      <c r="H128" s="7">
        <v>1925</v>
      </c>
      <c r="I128" s="7">
        <v>25</v>
      </c>
      <c r="J128" s="8">
        <f>G128/H128/60*I128</f>
        <v>84.27272727272727</v>
      </c>
      <c r="K128" s="20">
        <v>131493.6</v>
      </c>
      <c r="L128" s="7">
        <v>846720</v>
      </c>
      <c r="M128" s="7">
        <v>40</v>
      </c>
      <c r="N128" s="8">
        <f t="shared" si="37"/>
        <v>6.211904761904762</v>
      </c>
      <c r="O128" s="8">
        <f t="shared" si="53"/>
        <v>249.13370562770564</v>
      </c>
      <c r="P128" s="8">
        <f t="shared" si="59"/>
        <v>75.2383790995671</v>
      </c>
      <c r="Q128" s="58">
        <f t="shared" si="57"/>
        <v>254.11637974025976</v>
      </c>
      <c r="R128" s="78">
        <f>13.64+0.83*6+0.15*5</f>
        <v>19.37</v>
      </c>
      <c r="S128" s="76">
        <v>19.37</v>
      </c>
      <c r="T128" s="21">
        <f t="shared" si="58"/>
        <v>21.307000000000002</v>
      </c>
      <c r="U128" s="9">
        <f t="shared" si="43"/>
        <v>606.0073692294372</v>
      </c>
      <c r="V128" s="8">
        <f>U128*25%</f>
        <v>151.5018423073593</v>
      </c>
      <c r="W128" s="52">
        <f t="shared" si="55"/>
        <v>757.5092115367966</v>
      </c>
      <c r="X128" s="22"/>
      <c r="Y128" s="7"/>
      <c r="Z128" s="20">
        <v>577</v>
      </c>
      <c r="AB128" s="4">
        <v>450</v>
      </c>
      <c r="AC128" s="14"/>
      <c r="AD128" s="56">
        <v>654.5460651731601</v>
      </c>
      <c r="AE128" s="17">
        <f t="shared" si="32"/>
        <v>1.1573046601943862</v>
      </c>
    </row>
    <row r="129" spans="1:31" ht="15">
      <c r="A129" s="43" t="s">
        <v>567</v>
      </c>
      <c r="B129" s="31" t="s">
        <v>47</v>
      </c>
      <c r="C129" s="7">
        <v>572624</v>
      </c>
      <c r="D129" s="7">
        <v>1925</v>
      </c>
      <c r="E129" s="7">
        <v>25</v>
      </c>
      <c r="F129" s="8">
        <f t="shared" si="52"/>
        <v>123.94458874458876</v>
      </c>
      <c r="G129" s="37">
        <v>389340</v>
      </c>
      <c r="H129" s="7">
        <v>1925</v>
      </c>
      <c r="I129" s="7">
        <v>18</v>
      </c>
      <c r="J129" s="8">
        <f>G129/H129/60*I129</f>
        <v>60.67636363636363</v>
      </c>
      <c r="K129" s="20">
        <v>131493.6</v>
      </c>
      <c r="L129" s="7">
        <v>846720</v>
      </c>
      <c r="M129" s="7">
        <v>30</v>
      </c>
      <c r="N129" s="8">
        <f t="shared" si="37"/>
        <v>4.6589285714285715</v>
      </c>
      <c r="O129" s="8">
        <f t="shared" si="53"/>
        <v>189.27988095238095</v>
      </c>
      <c r="P129" s="8">
        <f t="shared" si="59"/>
        <v>57.162524047619044</v>
      </c>
      <c r="Q129" s="58">
        <f t="shared" si="57"/>
        <v>193.06547857142857</v>
      </c>
      <c r="R129" s="78">
        <f>0.83*6+0.15*5</f>
        <v>5.7299999999999995</v>
      </c>
      <c r="S129" s="76">
        <v>5.7299999999999995</v>
      </c>
      <c r="T129" s="21">
        <f t="shared" si="58"/>
        <v>6.303</v>
      </c>
      <c r="U129" s="9">
        <f t="shared" si="43"/>
        <v>450.4698121428571</v>
      </c>
      <c r="V129" s="8">
        <f t="shared" si="54"/>
        <v>112.61745303571428</v>
      </c>
      <c r="W129" s="52">
        <f t="shared" si="55"/>
        <v>563.0872651785714</v>
      </c>
      <c r="X129" s="22"/>
      <c r="Y129" s="7"/>
      <c r="Z129" s="20">
        <v>448</v>
      </c>
      <c r="AA129" s="4">
        <v>365</v>
      </c>
      <c r="AC129" s="14">
        <f t="shared" si="51"/>
        <v>54.27048361056754</v>
      </c>
      <c r="AD129" s="56">
        <v>479.9126738798701</v>
      </c>
      <c r="AE129" s="17">
        <f t="shared" si="32"/>
        <v>1.1733119290771663</v>
      </c>
    </row>
    <row r="130" spans="1:31" ht="15">
      <c r="A130" s="43" t="s">
        <v>568</v>
      </c>
      <c r="B130" s="31" t="s">
        <v>311</v>
      </c>
      <c r="C130" s="7">
        <v>572624</v>
      </c>
      <c r="D130" s="7">
        <v>1925</v>
      </c>
      <c r="E130" s="7">
        <v>29</v>
      </c>
      <c r="F130" s="8">
        <f>C130/D130/60*E130</f>
        <v>143.77572294372297</v>
      </c>
      <c r="G130" s="37">
        <v>389340</v>
      </c>
      <c r="H130" s="7">
        <v>1925</v>
      </c>
      <c r="I130" s="7">
        <v>20</v>
      </c>
      <c r="J130" s="8">
        <f>G130/H130/60*I130</f>
        <v>67.41818181818181</v>
      </c>
      <c r="K130" s="20">
        <v>131493.6</v>
      </c>
      <c r="L130" s="7">
        <v>846720</v>
      </c>
      <c r="M130" s="7">
        <v>30</v>
      </c>
      <c r="N130" s="8">
        <f t="shared" si="37"/>
        <v>4.6589285714285715</v>
      </c>
      <c r="O130" s="8">
        <f t="shared" si="53"/>
        <v>215.85283333333334</v>
      </c>
      <c r="P130" s="8">
        <f t="shared" si="59"/>
        <v>65.18755566666667</v>
      </c>
      <c r="Q130" s="58">
        <f t="shared" si="57"/>
        <v>220.16989</v>
      </c>
      <c r="R130" s="78">
        <f>0.83*6+0.15*5+0.83</f>
        <v>6.56</v>
      </c>
      <c r="S130" s="76">
        <v>6.56</v>
      </c>
      <c r="T130" s="21">
        <f t="shared" si="58"/>
        <v>7.216</v>
      </c>
      <c r="U130" s="9">
        <f t="shared" si="43"/>
        <v>513.0852075714286</v>
      </c>
      <c r="V130" s="8">
        <f>U130*25%</f>
        <v>128.27130189285714</v>
      </c>
      <c r="W130" s="52">
        <f t="shared" si="55"/>
        <v>641.3565094642856</v>
      </c>
      <c r="X130" s="22"/>
      <c r="Y130" s="7"/>
      <c r="Z130" s="20">
        <v>448</v>
      </c>
      <c r="AB130" s="4">
        <v>400</v>
      </c>
      <c r="AC130" s="14"/>
      <c r="AD130" s="56">
        <v>553.0491785551948</v>
      </c>
      <c r="AE130" s="17">
        <f t="shared" si="32"/>
        <v>1.159673559483061</v>
      </c>
    </row>
    <row r="131" spans="1:31" ht="15">
      <c r="A131" s="43" t="s">
        <v>569</v>
      </c>
      <c r="B131" s="31" t="s">
        <v>12</v>
      </c>
      <c r="C131" s="7">
        <v>572624</v>
      </c>
      <c r="D131" s="7">
        <v>1925</v>
      </c>
      <c r="E131" s="7">
        <v>15</v>
      </c>
      <c r="F131" s="8">
        <f t="shared" si="52"/>
        <v>74.36675324675325</v>
      </c>
      <c r="G131" s="37">
        <v>389340</v>
      </c>
      <c r="H131" s="7">
        <v>1925</v>
      </c>
      <c r="I131" s="7">
        <v>12</v>
      </c>
      <c r="J131" s="8">
        <f t="shared" si="50"/>
        <v>40.450909090909086</v>
      </c>
      <c r="K131" s="7">
        <v>120000</v>
      </c>
      <c r="L131" s="7">
        <v>846720</v>
      </c>
      <c r="M131" s="7">
        <v>10</v>
      </c>
      <c r="N131" s="8">
        <f t="shared" si="37"/>
        <v>1.417233560090703</v>
      </c>
      <c r="O131" s="8">
        <f t="shared" si="53"/>
        <v>116.23489589775305</v>
      </c>
      <c r="P131" s="8">
        <f t="shared" si="59"/>
        <v>35.10293856112142</v>
      </c>
      <c r="Q131" s="58">
        <f t="shared" si="57"/>
        <v>118.55959381570811</v>
      </c>
      <c r="R131" s="78">
        <f>0.83*2+3.6</f>
        <v>5.26</v>
      </c>
      <c r="S131" s="76">
        <v>5.26</v>
      </c>
      <c r="T131" s="21">
        <f t="shared" si="58"/>
        <v>5.7860000000000005</v>
      </c>
      <c r="U131" s="9">
        <f t="shared" si="43"/>
        <v>277.1006618346733</v>
      </c>
      <c r="V131" s="8">
        <f t="shared" si="54"/>
        <v>69.27516545866833</v>
      </c>
      <c r="W131" s="52">
        <f t="shared" si="55"/>
        <v>346.3758272933416</v>
      </c>
      <c r="X131" s="22">
        <v>330</v>
      </c>
      <c r="Y131" s="7"/>
      <c r="Z131" s="20">
        <v>257</v>
      </c>
      <c r="AA131" s="4">
        <v>332</v>
      </c>
      <c r="AB131" s="4">
        <v>350</v>
      </c>
      <c r="AC131" s="14">
        <f t="shared" si="51"/>
        <v>4.330068461849891</v>
      </c>
      <c r="AD131" s="56">
        <v>300.5244471894455</v>
      </c>
      <c r="AE131" s="17">
        <f t="shared" si="32"/>
        <v>1.1525712151963206</v>
      </c>
    </row>
    <row r="132" spans="1:31" ht="36.75" customHeight="1">
      <c r="A132" s="43" t="s">
        <v>570</v>
      </c>
      <c r="B132" s="31" t="s">
        <v>310</v>
      </c>
      <c r="C132" s="7">
        <v>572624</v>
      </c>
      <c r="D132" s="7">
        <v>1925</v>
      </c>
      <c r="E132" s="7">
        <v>25</v>
      </c>
      <c r="F132" s="8">
        <f aca="true" t="shared" si="60" ref="F132:F157">C132/D132/60*E132</f>
        <v>123.94458874458876</v>
      </c>
      <c r="G132" s="37">
        <v>389340</v>
      </c>
      <c r="H132" s="7">
        <v>1925</v>
      </c>
      <c r="I132" s="7">
        <v>20</v>
      </c>
      <c r="J132" s="8">
        <f>G132/H132/60*I132</f>
        <v>67.41818181818181</v>
      </c>
      <c r="K132" s="7">
        <v>120000</v>
      </c>
      <c r="L132" s="7">
        <v>846720</v>
      </c>
      <c r="M132" s="7">
        <v>30</v>
      </c>
      <c r="N132" s="8">
        <f t="shared" si="37"/>
        <v>4.2517006802721085</v>
      </c>
      <c r="O132" s="8">
        <f t="shared" si="53"/>
        <v>195.61447124304266</v>
      </c>
      <c r="P132" s="8">
        <f t="shared" si="59"/>
        <v>59.07557031539888</v>
      </c>
      <c r="Q132" s="58">
        <f t="shared" si="57"/>
        <v>199.52676066790352</v>
      </c>
      <c r="R132" s="78">
        <f>0.83*2+3.6+1.96*2</f>
        <v>9.18</v>
      </c>
      <c r="S132" s="76">
        <v>9.18</v>
      </c>
      <c r="T132" s="21">
        <f t="shared" si="58"/>
        <v>10.098</v>
      </c>
      <c r="U132" s="9">
        <f t="shared" si="43"/>
        <v>468.56650290661713</v>
      </c>
      <c r="V132" s="8">
        <f>U132*25%</f>
        <v>117.14162572665428</v>
      </c>
      <c r="W132" s="52">
        <f t="shared" si="55"/>
        <v>585.7081286332714</v>
      </c>
      <c r="X132" s="22">
        <v>600</v>
      </c>
      <c r="Y132" s="7"/>
      <c r="Z132" s="20">
        <v>468</v>
      </c>
      <c r="AB132" s="4">
        <v>450</v>
      </c>
      <c r="AC132" s="14"/>
      <c r="AD132" s="56">
        <v>498.556161100804</v>
      </c>
      <c r="AE132" s="17">
        <f t="shared" si="32"/>
        <v>1.1748087263429605</v>
      </c>
    </row>
    <row r="133" spans="1:31" ht="15">
      <c r="A133" s="43" t="s">
        <v>571</v>
      </c>
      <c r="B133" s="31" t="s">
        <v>366</v>
      </c>
      <c r="C133" s="7">
        <v>572624</v>
      </c>
      <c r="D133" s="7">
        <v>1925</v>
      </c>
      <c r="E133" s="7">
        <v>60</v>
      </c>
      <c r="F133" s="8">
        <f t="shared" si="60"/>
        <v>297.467012987013</v>
      </c>
      <c r="G133" s="37">
        <v>389340</v>
      </c>
      <c r="H133" s="7">
        <v>1925</v>
      </c>
      <c r="I133" s="7">
        <v>60</v>
      </c>
      <c r="J133" s="8">
        <f t="shared" si="50"/>
        <v>202.25454545454545</v>
      </c>
      <c r="K133" s="8">
        <v>294418.26</v>
      </c>
      <c r="L133" s="7">
        <v>846720</v>
      </c>
      <c r="M133" s="7">
        <v>80</v>
      </c>
      <c r="N133" s="8">
        <f t="shared" si="37"/>
        <v>27.817295918367346</v>
      </c>
      <c r="O133" s="8">
        <f t="shared" si="53"/>
        <v>527.5388543599258</v>
      </c>
      <c r="P133" s="8">
        <f t="shared" si="59"/>
        <v>159.3167340166976</v>
      </c>
      <c r="Q133" s="58">
        <f t="shared" si="57"/>
        <v>538.0896314471244</v>
      </c>
      <c r="R133" s="78">
        <f>0.15*5+1.99*3</f>
        <v>6.72</v>
      </c>
      <c r="S133" s="76">
        <v>6.72</v>
      </c>
      <c r="T133" s="21">
        <f t="shared" si="58"/>
        <v>7.392</v>
      </c>
      <c r="U133" s="9">
        <f t="shared" si="43"/>
        <v>1260.1545157421153</v>
      </c>
      <c r="V133" s="8">
        <f t="shared" si="54"/>
        <v>315.03862893552883</v>
      </c>
      <c r="W133" s="52">
        <f t="shared" si="55"/>
        <v>1575.193144677644</v>
      </c>
      <c r="X133" s="22">
        <v>1161</v>
      </c>
      <c r="Y133" s="7"/>
      <c r="Z133" s="20">
        <v>1161</v>
      </c>
      <c r="AA133" s="4">
        <v>973</v>
      </c>
      <c r="AC133" s="14">
        <f t="shared" si="51"/>
        <v>61.89035402647934</v>
      </c>
      <c r="AD133" s="56">
        <v>1332.9885825997217</v>
      </c>
      <c r="AE133" s="17">
        <f t="shared" si="32"/>
        <v>1.181700402568754</v>
      </c>
    </row>
    <row r="134" spans="1:31" ht="15">
      <c r="A134" s="43" t="s">
        <v>572</v>
      </c>
      <c r="B134" s="31" t="s">
        <v>448</v>
      </c>
      <c r="C134" s="7">
        <v>572624</v>
      </c>
      <c r="D134" s="7">
        <v>1925</v>
      </c>
      <c r="E134" s="7">
        <v>15</v>
      </c>
      <c r="F134" s="8">
        <f t="shared" si="60"/>
        <v>74.36675324675325</v>
      </c>
      <c r="G134" s="37">
        <v>389340</v>
      </c>
      <c r="H134" s="7">
        <v>1925</v>
      </c>
      <c r="I134" s="7">
        <v>13</v>
      </c>
      <c r="J134" s="8">
        <f t="shared" si="50"/>
        <v>43.82181818181818</v>
      </c>
      <c r="K134" s="7">
        <f>'[2]Лист1'!$O$1029</f>
        <v>46350</v>
      </c>
      <c r="L134" s="7">
        <v>846720</v>
      </c>
      <c r="M134" s="7">
        <v>20</v>
      </c>
      <c r="N134" s="8">
        <f t="shared" si="37"/>
        <v>1.094812925170068</v>
      </c>
      <c r="O134" s="8">
        <f t="shared" si="53"/>
        <v>119.28338435374151</v>
      </c>
      <c r="P134" s="8">
        <f t="shared" si="59"/>
        <v>36.02358207482993</v>
      </c>
      <c r="Q134" s="58">
        <f t="shared" si="57"/>
        <v>121.66905204081634</v>
      </c>
      <c r="R134" s="78">
        <f>0.15*5+1.99*3+13.64</f>
        <v>20.36</v>
      </c>
      <c r="S134" s="76">
        <v>20.36</v>
      </c>
      <c r="T134" s="21">
        <f t="shared" si="58"/>
        <v>22.396</v>
      </c>
      <c r="U134" s="9">
        <f t="shared" si="43"/>
        <v>300.46683139455786</v>
      </c>
      <c r="V134" s="8">
        <f t="shared" si="54"/>
        <v>75.11670784863946</v>
      </c>
      <c r="W134" s="52">
        <f t="shared" si="55"/>
        <v>375.5835392431973</v>
      </c>
      <c r="X134" s="22">
        <v>295</v>
      </c>
      <c r="Y134" s="7"/>
      <c r="Z134" s="20">
        <v>295</v>
      </c>
      <c r="AA134" s="4">
        <v>980</v>
      </c>
      <c r="AC134" s="14">
        <f t="shared" si="51"/>
        <v>-61.6751490568166</v>
      </c>
      <c r="AD134" s="56">
        <v>324.59387924319736</v>
      </c>
      <c r="AE134" s="17">
        <f t="shared" si="32"/>
        <v>1.1570875585173825</v>
      </c>
    </row>
    <row r="135" spans="1:31" ht="15">
      <c r="A135" s="43" t="s">
        <v>573</v>
      </c>
      <c r="B135" s="31" t="s">
        <v>365</v>
      </c>
      <c r="C135" s="7">
        <v>572624</v>
      </c>
      <c r="D135" s="7">
        <v>1925</v>
      </c>
      <c r="E135" s="7">
        <v>20</v>
      </c>
      <c r="F135" s="8">
        <f t="shared" si="60"/>
        <v>99.155670995671</v>
      </c>
      <c r="G135" s="37">
        <v>389340</v>
      </c>
      <c r="H135" s="7">
        <v>1925</v>
      </c>
      <c r="I135" s="7">
        <v>15</v>
      </c>
      <c r="J135" s="8">
        <f t="shared" si="50"/>
        <v>50.56363636363636</v>
      </c>
      <c r="K135" s="7">
        <v>53100</v>
      </c>
      <c r="L135" s="7">
        <v>846720</v>
      </c>
      <c r="M135" s="7">
        <v>25</v>
      </c>
      <c r="N135" s="8">
        <f t="shared" si="37"/>
        <v>1.56781462585034</v>
      </c>
      <c r="O135" s="8">
        <f t="shared" si="53"/>
        <v>151.2871219851577</v>
      </c>
      <c r="P135" s="8">
        <f t="shared" si="59"/>
        <v>45.688710839517626</v>
      </c>
      <c r="Q135" s="58">
        <f t="shared" si="57"/>
        <v>154.31286442486086</v>
      </c>
      <c r="R135" s="78">
        <f>0.83*2</f>
        <v>1.66</v>
      </c>
      <c r="S135" s="76">
        <v>1.66</v>
      </c>
      <c r="T135" s="21">
        <f t="shared" si="58"/>
        <v>1.826</v>
      </c>
      <c r="U135" s="9">
        <f t="shared" si="43"/>
        <v>354.6825118753866</v>
      </c>
      <c r="V135" s="8">
        <f t="shared" si="54"/>
        <v>88.67062796884665</v>
      </c>
      <c r="W135" s="52">
        <f t="shared" si="55"/>
        <v>443.3531398442332</v>
      </c>
      <c r="X135" s="22">
        <v>400</v>
      </c>
      <c r="Y135" s="7"/>
      <c r="Z135" s="20">
        <v>366</v>
      </c>
      <c r="AA135" s="4">
        <v>367</v>
      </c>
      <c r="AB135" s="4">
        <v>450</v>
      </c>
      <c r="AC135" s="14">
        <f t="shared" si="51"/>
        <v>20.804670257284258</v>
      </c>
      <c r="AD135" s="56">
        <v>386.42199438968765</v>
      </c>
      <c r="AE135" s="17">
        <f t="shared" si="32"/>
        <v>1.14732894680196</v>
      </c>
    </row>
    <row r="136" spans="1:31" ht="15">
      <c r="A136" s="43" t="s">
        <v>574</v>
      </c>
      <c r="B136" s="31" t="s">
        <v>128</v>
      </c>
      <c r="C136" s="7">
        <v>572624</v>
      </c>
      <c r="D136" s="7">
        <v>1925</v>
      </c>
      <c r="E136" s="7">
        <v>45</v>
      </c>
      <c r="F136" s="8">
        <f t="shared" si="60"/>
        <v>223.10025974025976</v>
      </c>
      <c r="G136" s="37">
        <v>389340</v>
      </c>
      <c r="H136" s="7">
        <v>1925</v>
      </c>
      <c r="I136" s="7">
        <v>35</v>
      </c>
      <c r="J136" s="8">
        <f t="shared" si="50"/>
        <v>117.98181818181817</v>
      </c>
      <c r="K136" s="7">
        <v>145000</v>
      </c>
      <c r="L136" s="7">
        <v>846720</v>
      </c>
      <c r="M136" s="7">
        <v>40</v>
      </c>
      <c r="N136" s="8">
        <f t="shared" si="37"/>
        <v>6.849962207105065</v>
      </c>
      <c r="O136" s="8">
        <f t="shared" si="53"/>
        <v>347.932040129183</v>
      </c>
      <c r="P136" s="8">
        <f t="shared" si="59"/>
        <v>105.07547611901326</v>
      </c>
      <c r="Q136" s="58">
        <f t="shared" si="57"/>
        <v>354.89068093176667</v>
      </c>
      <c r="R136" s="78">
        <f>11+0.83*10+1.99*2+0.21*15</f>
        <v>26.429999999999996</v>
      </c>
      <c r="S136" s="76">
        <v>26.429999999999996</v>
      </c>
      <c r="T136" s="21">
        <f t="shared" si="58"/>
        <v>29.072999999999997</v>
      </c>
      <c r="U136" s="9">
        <f t="shared" si="43"/>
        <v>843.821159387068</v>
      </c>
      <c r="V136" s="8">
        <f t="shared" si="54"/>
        <v>210.955289846767</v>
      </c>
      <c r="W136" s="52">
        <f t="shared" si="55"/>
        <v>1054.776449233835</v>
      </c>
      <c r="X136" s="22">
        <v>1100</v>
      </c>
      <c r="Y136" s="7"/>
      <c r="Z136" s="20">
        <v>794</v>
      </c>
      <c r="AA136" s="4">
        <v>586</v>
      </c>
      <c r="AB136" s="4">
        <v>800</v>
      </c>
      <c r="AC136" s="14">
        <f t="shared" si="51"/>
        <v>79.99598109792404</v>
      </c>
      <c r="AD136" s="56">
        <v>916.0128684286401</v>
      </c>
      <c r="AE136" s="17">
        <f t="shared" si="32"/>
        <v>1.1514864971746899</v>
      </c>
    </row>
    <row r="137" spans="1:31" ht="15">
      <c r="A137" s="43" t="s">
        <v>575</v>
      </c>
      <c r="B137" s="31" t="s">
        <v>65</v>
      </c>
      <c r="C137" s="7">
        <v>572624</v>
      </c>
      <c r="D137" s="7">
        <v>1925</v>
      </c>
      <c r="E137" s="7">
        <v>90</v>
      </c>
      <c r="F137" s="8">
        <f t="shared" si="60"/>
        <v>446.2005194805195</v>
      </c>
      <c r="G137" s="37">
        <v>389340</v>
      </c>
      <c r="H137" s="7">
        <v>1925</v>
      </c>
      <c r="I137" s="7">
        <v>35</v>
      </c>
      <c r="J137" s="8">
        <f t="shared" si="50"/>
        <v>117.98181818181817</v>
      </c>
      <c r="K137" s="7">
        <v>145000</v>
      </c>
      <c r="L137" s="7">
        <v>846720</v>
      </c>
      <c r="M137" s="7">
        <v>125</v>
      </c>
      <c r="N137" s="8">
        <f t="shared" si="37"/>
        <v>21.406131897203327</v>
      </c>
      <c r="O137" s="8">
        <f t="shared" si="53"/>
        <v>585.588469559541</v>
      </c>
      <c r="P137" s="8">
        <f t="shared" si="59"/>
        <v>176.84771780698136</v>
      </c>
      <c r="Q137" s="58">
        <f t="shared" si="57"/>
        <v>597.3002389507318</v>
      </c>
      <c r="R137" s="78">
        <f>0.83*10+0.21*15</f>
        <v>11.45</v>
      </c>
      <c r="S137" s="76">
        <v>11.45</v>
      </c>
      <c r="T137" s="21">
        <f t="shared" si="58"/>
        <v>12.595</v>
      </c>
      <c r="U137" s="9">
        <f t="shared" si="43"/>
        <v>1393.7375582144575</v>
      </c>
      <c r="V137" s="8">
        <f t="shared" si="54"/>
        <v>348.4343895536144</v>
      </c>
      <c r="W137" s="52">
        <f t="shared" si="55"/>
        <v>1742.171947768072</v>
      </c>
      <c r="X137" s="22">
        <v>1500</v>
      </c>
      <c r="Y137" s="7"/>
      <c r="Z137" s="20">
        <v>1147</v>
      </c>
      <c r="AA137" s="4">
        <v>704</v>
      </c>
      <c r="AB137" s="4">
        <v>1000</v>
      </c>
      <c r="AC137" s="14">
        <f t="shared" si="51"/>
        <v>147.46760621705565</v>
      </c>
      <c r="AD137" s="56">
        <v>1503.2231167291106</v>
      </c>
      <c r="AE137" s="17">
        <f aca="true" t="shared" si="61" ref="AE137:AE202">W137/AD137</f>
        <v>1.1589576612944152</v>
      </c>
    </row>
    <row r="138" spans="1:31" ht="15">
      <c r="A138" s="43" t="s">
        <v>576</v>
      </c>
      <c r="B138" s="31" t="s">
        <v>399</v>
      </c>
      <c r="C138" s="7">
        <v>572624</v>
      </c>
      <c r="D138" s="7">
        <v>1925</v>
      </c>
      <c r="E138" s="7">
        <v>30</v>
      </c>
      <c r="F138" s="8">
        <f t="shared" si="60"/>
        <v>148.7335064935065</v>
      </c>
      <c r="G138" s="37">
        <v>389340</v>
      </c>
      <c r="H138" s="7">
        <v>1925</v>
      </c>
      <c r="I138" s="7">
        <v>21</v>
      </c>
      <c r="J138" s="8">
        <f t="shared" si="50"/>
        <v>70.7890909090909</v>
      </c>
      <c r="K138" s="7">
        <f>'[2]Лист1'!$O$179</f>
        <v>68500</v>
      </c>
      <c r="L138" s="7">
        <v>846720</v>
      </c>
      <c r="M138" s="7">
        <v>20</v>
      </c>
      <c r="N138" s="8">
        <f t="shared" si="37"/>
        <v>1.618008314436886</v>
      </c>
      <c r="O138" s="8">
        <f t="shared" si="53"/>
        <v>221.14060571703428</v>
      </c>
      <c r="P138" s="8">
        <f t="shared" si="59"/>
        <v>66.78446292654435</v>
      </c>
      <c r="Q138" s="58">
        <f t="shared" si="57"/>
        <v>225.56341783137498</v>
      </c>
      <c r="R138" s="78">
        <f>1.99*3+13.64</f>
        <v>19.61</v>
      </c>
      <c r="S138" s="76">
        <v>19.61</v>
      </c>
      <c r="T138" s="21">
        <f t="shared" si="58"/>
        <v>21.571</v>
      </c>
      <c r="U138" s="9">
        <f t="shared" si="43"/>
        <v>536.6774947893905</v>
      </c>
      <c r="V138" s="8">
        <f t="shared" si="54"/>
        <v>134.16937369734762</v>
      </c>
      <c r="W138" s="52">
        <f t="shared" si="55"/>
        <v>670.8468684867381</v>
      </c>
      <c r="X138" s="22">
        <v>577</v>
      </c>
      <c r="Y138" s="7"/>
      <c r="Z138" s="20">
        <v>577</v>
      </c>
      <c r="AA138" s="4">
        <v>520</v>
      </c>
      <c r="AC138" s="14">
        <f t="shared" si="51"/>
        <v>29.009013170526543</v>
      </c>
      <c r="AD138" s="56">
        <v>578.9501882010238</v>
      </c>
      <c r="AE138" s="17">
        <f t="shared" si="61"/>
        <v>1.15872985648604</v>
      </c>
    </row>
    <row r="139" spans="1:31" ht="30">
      <c r="A139" s="43" t="s">
        <v>577</v>
      </c>
      <c r="B139" s="31" t="s">
        <v>329</v>
      </c>
      <c r="C139" s="7">
        <v>572624</v>
      </c>
      <c r="D139" s="7">
        <v>1925</v>
      </c>
      <c r="E139" s="7">
        <v>12</v>
      </c>
      <c r="F139" s="8">
        <f t="shared" si="60"/>
        <v>59.49340259740261</v>
      </c>
      <c r="G139" s="37">
        <v>389340</v>
      </c>
      <c r="H139" s="7">
        <v>1925</v>
      </c>
      <c r="I139" s="7">
        <v>8</v>
      </c>
      <c r="J139" s="8">
        <f aca="true" t="shared" si="62" ref="J139:J165">G139/H139/60*I139</f>
        <v>26.967272727272725</v>
      </c>
      <c r="K139" s="7">
        <v>4711525</v>
      </c>
      <c r="L139" s="7">
        <v>846720</v>
      </c>
      <c r="M139" s="7">
        <v>12</v>
      </c>
      <c r="N139" s="8">
        <f t="shared" si="37"/>
        <v>66.7733134920635</v>
      </c>
      <c r="O139" s="8">
        <f t="shared" si="53"/>
        <v>153.23398881673882</v>
      </c>
      <c r="P139" s="8">
        <f t="shared" si="59"/>
        <v>46.27666462265512</v>
      </c>
      <c r="Q139" s="58">
        <f t="shared" si="57"/>
        <v>156.2986685930736</v>
      </c>
      <c r="R139" s="78">
        <f>13.64+7.38+0.83*5+1.99*3+6.75</f>
        <v>37.89</v>
      </c>
      <c r="S139" s="76">
        <v>37.89</v>
      </c>
      <c r="T139" s="21">
        <f t="shared" si="58"/>
        <v>41.679</v>
      </c>
      <c r="U139" s="9">
        <f t="shared" si="43"/>
        <v>464.261635524531</v>
      </c>
      <c r="V139" s="8">
        <f aca="true" t="shared" si="63" ref="V139:V165">U139*25%</f>
        <v>116.06540888113275</v>
      </c>
      <c r="W139" s="52">
        <f t="shared" si="55"/>
        <v>580.3270444056637</v>
      </c>
      <c r="X139" s="22">
        <v>500</v>
      </c>
      <c r="Y139" s="7"/>
      <c r="Z139" s="20">
        <v>339</v>
      </c>
      <c r="AA139" s="4">
        <v>302</v>
      </c>
      <c r="AC139" s="14">
        <f t="shared" si="51"/>
        <v>92.16127298200786</v>
      </c>
      <c r="AD139" s="56">
        <v>501.6234140420273</v>
      </c>
      <c r="AE139" s="17">
        <f t="shared" si="61"/>
        <v>1.1568978404126933</v>
      </c>
    </row>
    <row r="140" spans="1:31" ht="15">
      <c r="A140" s="43" t="s">
        <v>578</v>
      </c>
      <c r="B140" s="31" t="s">
        <v>315</v>
      </c>
      <c r="C140" s="7">
        <v>572624</v>
      </c>
      <c r="D140" s="7">
        <v>1925</v>
      </c>
      <c r="E140" s="7">
        <v>15</v>
      </c>
      <c r="F140" s="8">
        <f t="shared" si="60"/>
        <v>74.36675324675325</v>
      </c>
      <c r="G140" s="37">
        <v>389340</v>
      </c>
      <c r="H140" s="7">
        <v>1925</v>
      </c>
      <c r="I140" s="7">
        <v>9</v>
      </c>
      <c r="J140" s="8">
        <f t="shared" si="62"/>
        <v>30.338181818181816</v>
      </c>
      <c r="K140" s="7">
        <v>4711525</v>
      </c>
      <c r="L140" s="7">
        <v>846720</v>
      </c>
      <c r="M140" s="7">
        <v>15</v>
      </c>
      <c r="N140" s="8">
        <f t="shared" si="37"/>
        <v>83.46664186507937</v>
      </c>
      <c r="O140" s="8">
        <f t="shared" si="53"/>
        <v>188.17157693001442</v>
      </c>
      <c r="P140" s="8">
        <f t="shared" si="59"/>
        <v>56.82781623286436</v>
      </c>
      <c r="Q140" s="58">
        <f t="shared" si="57"/>
        <v>191.9350084686147</v>
      </c>
      <c r="R140" s="78">
        <f>13.64+7.38+0.83*5+1.99*3+6.75</f>
        <v>37.89</v>
      </c>
      <c r="S140" s="76">
        <v>37.89</v>
      </c>
      <c r="T140" s="21">
        <f t="shared" si="58"/>
        <v>41.679</v>
      </c>
      <c r="U140" s="9">
        <f t="shared" si="43"/>
        <v>562.0800434965728</v>
      </c>
      <c r="V140" s="8">
        <f t="shared" si="63"/>
        <v>140.5200108741432</v>
      </c>
      <c r="W140" s="52">
        <f t="shared" si="55"/>
        <v>702.600054370716</v>
      </c>
      <c r="X140" s="22">
        <v>607</v>
      </c>
      <c r="Y140" s="7"/>
      <c r="Z140" s="20">
        <v>607</v>
      </c>
      <c r="AA140" s="4">
        <v>302</v>
      </c>
      <c r="AB140" s="4">
        <v>400</v>
      </c>
      <c r="AC140" s="14">
        <f t="shared" si="51"/>
        <v>132.6490246260649</v>
      </c>
      <c r="AD140" s="56">
        <v>610.9974627083784</v>
      </c>
      <c r="AE140" s="17">
        <f t="shared" si="61"/>
        <v>1.149923031196053</v>
      </c>
    </row>
    <row r="141" spans="1:31" ht="15">
      <c r="A141" s="43" t="s">
        <v>579</v>
      </c>
      <c r="B141" s="31" t="s">
        <v>316</v>
      </c>
      <c r="C141" s="7">
        <v>572624</v>
      </c>
      <c r="D141" s="7">
        <v>1925</v>
      </c>
      <c r="E141" s="7">
        <v>10</v>
      </c>
      <c r="F141" s="8">
        <f t="shared" si="60"/>
        <v>49.5778354978355</v>
      </c>
      <c r="G141" s="37">
        <v>389340</v>
      </c>
      <c r="H141" s="7">
        <v>1925</v>
      </c>
      <c r="I141" s="7">
        <v>6</v>
      </c>
      <c r="J141" s="8">
        <f t="shared" si="62"/>
        <v>20.225454545454543</v>
      </c>
      <c r="K141" s="7">
        <v>4711525</v>
      </c>
      <c r="L141" s="7">
        <v>846720</v>
      </c>
      <c r="M141" s="7">
        <v>9</v>
      </c>
      <c r="N141" s="8">
        <f t="shared" si="37"/>
        <v>50.07998511904762</v>
      </c>
      <c r="O141" s="8">
        <f t="shared" si="53"/>
        <v>119.88327516233767</v>
      </c>
      <c r="P141" s="8">
        <f t="shared" si="59"/>
        <v>36.204749099025975</v>
      </c>
      <c r="Q141" s="58">
        <f t="shared" si="57"/>
        <v>122.28094066558442</v>
      </c>
      <c r="R141" s="78">
        <f aca="true" t="shared" si="64" ref="R141:R149">13.64+7.38+0.83*5+1.99*3+6.75</f>
        <v>37.89</v>
      </c>
      <c r="S141" s="76">
        <v>37.89</v>
      </c>
      <c r="T141" s="21">
        <f t="shared" si="58"/>
        <v>41.679</v>
      </c>
      <c r="U141" s="9">
        <f t="shared" si="43"/>
        <v>370.1279500459957</v>
      </c>
      <c r="V141" s="8">
        <f t="shared" si="63"/>
        <v>92.53198751149893</v>
      </c>
      <c r="W141" s="52">
        <f t="shared" si="55"/>
        <v>462.65993755749463</v>
      </c>
      <c r="X141" s="22">
        <v>400</v>
      </c>
      <c r="Y141" s="7"/>
      <c r="Z141" s="20">
        <v>339</v>
      </c>
      <c r="AA141" s="4">
        <v>302</v>
      </c>
      <c r="AB141" s="4">
        <v>200</v>
      </c>
      <c r="AC141" s="14">
        <f t="shared" si="51"/>
        <v>53.198654820362464</v>
      </c>
      <c r="AD141" s="56">
        <v>400.2603658951569</v>
      </c>
      <c r="AE141" s="17">
        <f t="shared" si="61"/>
        <v>1.1558974532059527</v>
      </c>
    </row>
    <row r="142" spans="1:31" ht="15">
      <c r="A142" s="43" t="s">
        <v>580</v>
      </c>
      <c r="B142" s="31" t="s">
        <v>312</v>
      </c>
      <c r="C142" s="7">
        <v>572624</v>
      </c>
      <c r="D142" s="7">
        <v>1925</v>
      </c>
      <c r="E142" s="7">
        <v>11</v>
      </c>
      <c r="F142" s="8">
        <f t="shared" si="60"/>
        <v>54.53561904761905</v>
      </c>
      <c r="G142" s="37">
        <v>389340</v>
      </c>
      <c r="H142" s="7">
        <v>1925</v>
      </c>
      <c r="I142" s="7">
        <v>9</v>
      </c>
      <c r="J142" s="8">
        <f t="shared" si="62"/>
        <v>30.338181818181816</v>
      </c>
      <c r="K142" s="7">
        <v>4711525</v>
      </c>
      <c r="L142" s="7">
        <v>846720</v>
      </c>
      <c r="M142" s="7">
        <v>12</v>
      </c>
      <c r="N142" s="8">
        <f t="shared" si="37"/>
        <v>66.7733134920635</v>
      </c>
      <c r="O142" s="8">
        <f t="shared" si="53"/>
        <v>151.64711435786435</v>
      </c>
      <c r="P142" s="8">
        <f t="shared" si="59"/>
        <v>45.79742853607503</v>
      </c>
      <c r="Q142" s="58">
        <f t="shared" si="57"/>
        <v>154.68005664502164</v>
      </c>
      <c r="R142" s="78">
        <f t="shared" si="64"/>
        <v>37.89</v>
      </c>
      <c r="S142" s="76">
        <v>37.89</v>
      </c>
      <c r="T142" s="21">
        <f t="shared" si="58"/>
        <v>41.679</v>
      </c>
      <c r="U142" s="9">
        <f t="shared" si="43"/>
        <v>460.57691303102456</v>
      </c>
      <c r="V142" s="8">
        <f t="shared" si="63"/>
        <v>115.14422825775614</v>
      </c>
      <c r="W142" s="52">
        <f t="shared" si="55"/>
        <v>575.7211412887807</v>
      </c>
      <c r="X142" s="22">
        <v>500</v>
      </c>
      <c r="Y142" s="7"/>
      <c r="Z142" s="20">
        <v>410</v>
      </c>
      <c r="AA142" s="4">
        <v>427</v>
      </c>
      <c r="AB142" s="4">
        <v>200</v>
      </c>
      <c r="AC142" s="14">
        <f t="shared" si="51"/>
        <v>34.829307093391265</v>
      </c>
      <c r="AD142" s="56">
        <v>500.7148787693001</v>
      </c>
      <c r="AE142" s="17">
        <f t="shared" si="61"/>
        <v>1.1497983497191804</v>
      </c>
    </row>
    <row r="143" spans="1:31" ht="30">
      <c r="A143" s="43" t="s">
        <v>581</v>
      </c>
      <c r="B143" s="31" t="s">
        <v>865</v>
      </c>
      <c r="C143" s="7">
        <v>572624</v>
      </c>
      <c r="D143" s="7">
        <v>1925</v>
      </c>
      <c r="E143" s="7">
        <v>15</v>
      </c>
      <c r="F143" s="8">
        <f t="shared" si="60"/>
        <v>74.36675324675325</v>
      </c>
      <c r="G143" s="37">
        <v>389340</v>
      </c>
      <c r="H143" s="7">
        <v>1925</v>
      </c>
      <c r="I143" s="7">
        <v>13</v>
      </c>
      <c r="J143" s="8">
        <f t="shared" si="62"/>
        <v>43.82181818181818</v>
      </c>
      <c r="K143" s="7">
        <v>4711525</v>
      </c>
      <c r="L143" s="7">
        <v>846720</v>
      </c>
      <c r="M143" s="7">
        <v>13</v>
      </c>
      <c r="N143" s="8">
        <f t="shared" si="37"/>
        <v>72.33775628306879</v>
      </c>
      <c r="O143" s="8">
        <f t="shared" si="53"/>
        <v>190.52632771164022</v>
      </c>
      <c r="P143" s="8">
        <f t="shared" si="59"/>
        <v>57.538950968915344</v>
      </c>
      <c r="Q143" s="58">
        <f t="shared" si="57"/>
        <v>194.33685426587303</v>
      </c>
      <c r="R143" s="78">
        <f t="shared" si="64"/>
        <v>37.89</v>
      </c>
      <c r="S143" s="76">
        <v>37.89</v>
      </c>
      <c r="T143" s="21">
        <f t="shared" si="58"/>
        <v>41.679</v>
      </c>
      <c r="U143" s="9">
        <f t="shared" si="43"/>
        <v>556.4188892294974</v>
      </c>
      <c r="V143" s="8">
        <f t="shared" si="63"/>
        <v>139.10472230737435</v>
      </c>
      <c r="W143" s="52">
        <f t="shared" si="55"/>
        <v>695.5236115368717</v>
      </c>
      <c r="X143" s="22">
        <v>600</v>
      </c>
      <c r="Y143" s="7"/>
      <c r="Z143" s="20">
        <v>480</v>
      </c>
      <c r="AA143" s="4">
        <v>364</v>
      </c>
      <c r="AB143" s="4">
        <v>500</v>
      </c>
      <c r="AC143" s="14">
        <f t="shared" si="51"/>
        <v>91.07791525738236</v>
      </c>
      <c r="AD143" s="56">
        <v>600.2970915628457</v>
      </c>
      <c r="AE143" s="17">
        <f t="shared" si="61"/>
        <v>1.1586323194172208</v>
      </c>
    </row>
    <row r="144" spans="1:31" ht="30">
      <c r="A144" s="43" t="s">
        <v>582</v>
      </c>
      <c r="B144" s="31" t="s">
        <v>864</v>
      </c>
      <c r="C144" s="7">
        <v>572624</v>
      </c>
      <c r="D144" s="7">
        <v>1925</v>
      </c>
      <c r="E144" s="7">
        <v>17</v>
      </c>
      <c r="F144" s="8">
        <f t="shared" si="60"/>
        <v>84.28232034632036</v>
      </c>
      <c r="G144" s="37">
        <v>389340</v>
      </c>
      <c r="H144" s="7">
        <v>1925</v>
      </c>
      <c r="I144" s="7">
        <v>17</v>
      </c>
      <c r="J144" s="8">
        <f>G144/H144/60*I144</f>
        <v>57.30545454545454</v>
      </c>
      <c r="K144" s="7">
        <v>4435000</v>
      </c>
      <c r="L144" s="7">
        <v>846720</v>
      </c>
      <c r="M144" s="7">
        <v>17</v>
      </c>
      <c r="N144" s="8">
        <f>K144/L144*M144</f>
        <v>89.04360355253212</v>
      </c>
      <c r="O144" s="8">
        <f>F144+J144+N144</f>
        <v>230.63137844430702</v>
      </c>
      <c r="P144" s="8">
        <f>O144*0.302</f>
        <v>69.65067629018071</v>
      </c>
      <c r="Q144" s="58">
        <f>(O144)*102%</f>
        <v>235.24400601319317</v>
      </c>
      <c r="R144" s="78">
        <f>0.66*6+2.14*2+16.41*2+8.4*2+0.11*5+15.96</f>
        <v>74.37</v>
      </c>
      <c r="S144" s="76">
        <v>74.37</v>
      </c>
      <c r="T144" s="21">
        <f>S144*1.1</f>
        <v>81.80700000000002</v>
      </c>
      <c r="U144" s="9">
        <f>N144+O144+P144+Q144+T144</f>
        <v>706.3766643002131</v>
      </c>
      <c r="V144" s="8">
        <f>U144*25%</f>
        <v>176.59416607505327</v>
      </c>
      <c r="W144" s="52">
        <f>U144+V144</f>
        <v>882.9708303752664</v>
      </c>
      <c r="X144" s="22">
        <v>600</v>
      </c>
      <c r="Y144" s="7"/>
      <c r="Z144" s="20">
        <v>480</v>
      </c>
      <c r="AA144" s="4">
        <v>364</v>
      </c>
      <c r="AB144" s="4">
        <v>500</v>
      </c>
      <c r="AC144" s="14">
        <f>(100*W144)/AA144-100</f>
        <v>142.57440394924902</v>
      </c>
      <c r="AD144" s="56">
        <v>600.2970915628457</v>
      </c>
      <c r="AE144" s="17">
        <f>W144/AD144</f>
        <v>1.470889735741502</v>
      </c>
    </row>
    <row r="145" spans="1:31" ht="30">
      <c r="A145" s="43" t="s">
        <v>583</v>
      </c>
      <c r="B145" s="31" t="s">
        <v>866</v>
      </c>
      <c r="C145" s="7">
        <v>572624</v>
      </c>
      <c r="D145" s="7">
        <v>1925</v>
      </c>
      <c r="E145" s="7">
        <v>15</v>
      </c>
      <c r="F145" s="8">
        <f t="shared" si="60"/>
        <v>74.36675324675325</v>
      </c>
      <c r="G145" s="37">
        <v>389340</v>
      </c>
      <c r="H145" s="7">
        <v>1925</v>
      </c>
      <c r="I145" s="7">
        <v>14</v>
      </c>
      <c r="J145" s="8">
        <f t="shared" si="62"/>
        <v>47.19272727272727</v>
      </c>
      <c r="K145" s="7">
        <v>4711525</v>
      </c>
      <c r="L145" s="7">
        <v>846720</v>
      </c>
      <c r="M145" s="7">
        <v>15</v>
      </c>
      <c r="N145" s="8">
        <f t="shared" si="37"/>
        <v>83.46664186507937</v>
      </c>
      <c r="O145" s="8">
        <f t="shared" si="53"/>
        <v>205.02612238455987</v>
      </c>
      <c r="P145" s="8">
        <f t="shared" si="59"/>
        <v>61.91788896013708</v>
      </c>
      <c r="Q145" s="58">
        <f t="shared" si="57"/>
        <v>209.12664483225106</v>
      </c>
      <c r="R145" s="78">
        <f t="shared" si="64"/>
        <v>37.89</v>
      </c>
      <c r="S145" s="76">
        <v>37.89</v>
      </c>
      <c r="T145" s="21">
        <f t="shared" si="58"/>
        <v>41.679</v>
      </c>
      <c r="U145" s="9">
        <f t="shared" si="43"/>
        <v>601.2162980420273</v>
      </c>
      <c r="V145" s="8">
        <f t="shared" si="63"/>
        <v>150.30407451050684</v>
      </c>
      <c r="W145" s="52">
        <f t="shared" si="55"/>
        <v>751.5203725525341</v>
      </c>
      <c r="X145" s="22">
        <v>650</v>
      </c>
      <c r="Y145" s="7"/>
      <c r="Z145" s="20">
        <v>607</v>
      </c>
      <c r="AA145" s="4">
        <v>302</v>
      </c>
      <c r="AB145" s="4">
        <v>350</v>
      </c>
      <c r="AC145" s="14">
        <f t="shared" si="51"/>
        <v>148.84780548097154</v>
      </c>
      <c r="AD145" s="56">
        <v>653.6122541888979</v>
      </c>
      <c r="AE145" s="17">
        <f t="shared" si="61"/>
        <v>1.1497954142324576</v>
      </c>
    </row>
    <row r="146" spans="1:31" ht="30">
      <c r="A146" s="43" t="s">
        <v>584</v>
      </c>
      <c r="B146" s="31" t="s">
        <v>867</v>
      </c>
      <c r="C146" s="7">
        <v>572624</v>
      </c>
      <c r="D146" s="7">
        <v>1925</v>
      </c>
      <c r="E146" s="7">
        <v>20</v>
      </c>
      <c r="F146" s="8">
        <f>C146/D146/60*E146</f>
        <v>99.155670995671</v>
      </c>
      <c r="G146" s="37">
        <v>389340</v>
      </c>
      <c r="H146" s="7">
        <v>1925</v>
      </c>
      <c r="I146" s="7">
        <v>20</v>
      </c>
      <c r="J146" s="8">
        <f>G146/H146/60*I146</f>
        <v>67.41818181818181</v>
      </c>
      <c r="K146" s="7">
        <v>4711525</v>
      </c>
      <c r="L146" s="7">
        <v>846720</v>
      </c>
      <c r="M146" s="7">
        <v>20</v>
      </c>
      <c r="N146" s="8">
        <f>K146/L146*M146</f>
        <v>111.28885582010582</v>
      </c>
      <c r="O146" s="8">
        <f>F146+J146+N146</f>
        <v>277.8627086339586</v>
      </c>
      <c r="P146" s="8">
        <f>O146*0.302</f>
        <v>83.9145380074555</v>
      </c>
      <c r="Q146" s="58">
        <f>(O146)*102%</f>
        <v>283.4199628066378</v>
      </c>
      <c r="R146" s="78">
        <f t="shared" si="64"/>
        <v>37.89</v>
      </c>
      <c r="S146" s="76">
        <v>37.89</v>
      </c>
      <c r="T146" s="21">
        <f>S146*1.1</f>
        <v>41.679</v>
      </c>
      <c r="U146" s="9">
        <f>N146+O146+P146+Q146+T146</f>
        <v>798.1650652681577</v>
      </c>
      <c r="V146" s="8">
        <f>U146*25%</f>
        <v>199.54126631703943</v>
      </c>
      <c r="W146" s="52">
        <f>U146+V146</f>
        <v>997.7063315851972</v>
      </c>
      <c r="X146" s="22">
        <v>650</v>
      </c>
      <c r="Y146" s="7"/>
      <c r="Z146" s="20">
        <v>607</v>
      </c>
      <c r="AA146" s="4">
        <v>302</v>
      </c>
      <c r="AB146" s="4">
        <v>350</v>
      </c>
      <c r="AC146" s="14">
        <f>(100*W146)/AA146-100</f>
        <v>230.36633496198584</v>
      </c>
      <c r="AD146" s="56">
        <v>653.6122541888979</v>
      </c>
      <c r="AE146" s="17">
        <f>W146/AD146</f>
        <v>1.5264498564570272</v>
      </c>
    </row>
    <row r="147" spans="1:31" ht="30">
      <c r="A147" s="43" t="s">
        <v>585</v>
      </c>
      <c r="B147" s="31" t="s">
        <v>321</v>
      </c>
      <c r="C147" s="7">
        <v>572624</v>
      </c>
      <c r="D147" s="7">
        <v>1925</v>
      </c>
      <c r="E147" s="7">
        <v>10</v>
      </c>
      <c r="F147" s="8">
        <f t="shared" si="60"/>
        <v>49.5778354978355</v>
      </c>
      <c r="G147" s="37">
        <v>389340</v>
      </c>
      <c r="H147" s="7">
        <v>1925</v>
      </c>
      <c r="I147" s="7">
        <v>7</v>
      </c>
      <c r="J147" s="8">
        <f t="shared" si="62"/>
        <v>23.596363636363634</v>
      </c>
      <c r="K147" s="7">
        <v>4711525</v>
      </c>
      <c r="L147" s="7">
        <v>846720</v>
      </c>
      <c r="M147" s="7">
        <v>9</v>
      </c>
      <c r="N147" s="8">
        <f t="shared" si="37"/>
        <v>50.07998511904762</v>
      </c>
      <c r="O147" s="8">
        <f t="shared" si="53"/>
        <v>123.25418425324676</v>
      </c>
      <c r="P147" s="8">
        <f t="shared" si="59"/>
        <v>37.22276364448052</v>
      </c>
      <c r="Q147" s="58">
        <f t="shared" si="57"/>
        <v>125.7192679383117</v>
      </c>
      <c r="R147" s="78">
        <f t="shared" si="64"/>
        <v>37.89</v>
      </c>
      <c r="S147" s="76">
        <v>37.89</v>
      </c>
      <c r="T147" s="21">
        <f t="shared" si="58"/>
        <v>41.679</v>
      </c>
      <c r="U147" s="9">
        <f t="shared" si="43"/>
        <v>377.95520095508664</v>
      </c>
      <c r="V147" s="8">
        <f t="shared" si="63"/>
        <v>94.48880023877166</v>
      </c>
      <c r="W147" s="52">
        <f t="shared" si="55"/>
        <v>472.4440011938583</v>
      </c>
      <c r="X147" s="22">
        <v>400</v>
      </c>
      <c r="Y147" s="7"/>
      <c r="Z147" s="20">
        <v>304</v>
      </c>
      <c r="AA147" s="4">
        <v>302</v>
      </c>
      <c r="AB147" s="4">
        <v>300</v>
      </c>
      <c r="AC147" s="14">
        <f t="shared" si="51"/>
        <v>56.4384109913438</v>
      </c>
      <c r="AD147" s="56">
        <v>406.4542958691829</v>
      </c>
      <c r="AE147" s="17">
        <f t="shared" si="61"/>
        <v>1.162354552517546</v>
      </c>
    </row>
    <row r="148" spans="1:31" ht="15">
      <c r="A148" s="43" t="s">
        <v>586</v>
      </c>
      <c r="B148" s="31" t="s">
        <v>317</v>
      </c>
      <c r="C148" s="7">
        <v>572624</v>
      </c>
      <c r="D148" s="7">
        <v>1925</v>
      </c>
      <c r="E148" s="7">
        <v>10</v>
      </c>
      <c r="F148" s="8">
        <f t="shared" si="60"/>
        <v>49.5778354978355</v>
      </c>
      <c r="G148" s="37">
        <v>389340</v>
      </c>
      <c r="H148" s="7">
        <v>1925</v>
      </c>
      <c r="I148" s="7">
        <v>7</v>
      </c>
      <c r="J148" s="8">
        <f t="shared" si="62"/>
        <v>23.596363636363634</v>
      </c>
      <c r="K148" s="7">
        <v>4711525</v>
      </c>
      <c r="L148" s="7">
        <v>846720</v>
      </c>
      <c r="M148" s="7">
        <v>9</v>
      </c>
      <c r="N148" s="8">
        <f t="shared" si="37"/>
        <v>50.07998511904762</v>
      </c>
      <c r="O148" s="8">
        <f aca="true" t="shared" si="65" ref="O148:O165">F148+J148+N148</f>
        <v>123.25418425324676</v>
      </c>
      <c r="P148" s="8">
        <f t="shared" si="59"/>
        <v>37.22276364448052</v>
      </c>
      <c r="Q148" s="58">
        <f t="shared" si="57"/>
        <v>125.7192679383117</v>
      </c>
      <c r="R148" s="78">
        <f t="shared" si="64"/>
        <v>37.89</v>
      </c>
      <c r="S148" s="76">
        <v>37.89</v>
      </c>
      <c r="T148" s="21">
        <f t="shared" si="58"/>
        <v>41.679</v>
      </c>
      <c r="U148" s="9">
        <f t="shared" si="43"/>
        <v>377.95520095508664</v>
      </c>
      <c r="V148" s="8">
        <f t="shared" si="63"/>
        <v>94.48880023877166</v>
      </c>
      <c r="W148" s="52">
        <f aca="true" t="shared" si="66" ref="W148:W165">U148+V148</f>
        <v>472.4440011938583</v>
      </c>
      <c r="X148" s="22">
        <v>400</v>
      </c>
      <c r="Y148" s="7"/>
      <c r="Z148" s="20">
        <v>304</v>
      </c>
      <c r="AA148" s="4">
        <v>302</v>
      </c>
      <c r="AB148" s="4">
        <v>200</v>
      </c>
      <c r="AC148" s="14">
        <f t="shared" si="51"/>
        <v>56.4384109913438</v>
      </c>
      <c r="AD148" s="56">
        <v>406.4542958691829</v>
      </c>
      <c r="AE148" s="17">
        <f t="shared" si="61"/>
        <v>1.162354552517546</v>
      </c>
    </row>
    <row r="149" spans="1:31" ht="30">
      <c r="A149" s="43" t="s">
        <v>587</v>
      </c>
      <c r="B149" s="31" t="s">
        <v>318</v>
      </c>
      <c r="C149" s="7">
        <v>572624</v>
      </c>
      <c r="D149" s="7">
        <v>1925</v>
      </c>
      <c r="E149" s="7">
        <v>25</v>
      </c>
      <c r="F149" s="8">
        <f t="shared" si="60"/>
        <v>123.94458874458876</v>
      </c>
      <c r="G149" s="37">
        <v>389340</v>
      </c>
      <c r="H149" s="7">
        <v>1925</v>
      </c>
      <c r="I149" s="7">
        <v>20</v>
      </c>
      <c r="J149" s="8">
        <f t="shared" si="62"/>
        <v>67.41818181818181</v>
      </c>
      <c r="K149" s="7">
        <v>4711525</v>
      </c>
      <c r="L149" s="7">
        <v>846720</v>
      </c>
      <c r="M149" s="7">
        <v>19</v>
      </c>
      <c r="N149" s="8">
        <f t="shared" si="37"/>
        <v>105.72441302910053</v>
      </c>
      <c r="O149" s="8">
        <f t="shared" si="65"/>
        <v>297.08718359187105</v>
      </c>
      <c r="P149" s="8">
        <f t="shared" si="59"/>
        <v>89.72032944474506</v>
      </c>
      <c r="Q149" s="58">
        <f t="shared" si="57"/>
        <v>303.02892726370845</v>
      </c>
      <c r="R149" s="78">
        <f t="shared" si="64"/>
        <v>37.89</v>
      </c>
      <c r="S149" s="76">
        <v>37.89</v>
      </c>
      <c r="T149" s="21">
        <f t="shared" si="58"/>
        <v>41.679</v>
      </c>
      <c r="U149" s="9">
        <f t="shared" si="43"/>
        <v>837.239853329425</v>
      </c>
      <c r="V149" s="8">
        <f t="shared" si="63"/>
        <v>209.30996333235626</v>
      </c>
      <c r="W149" s="52">
        <f t="shared" si="66"/>
        <v>1046.5498166617813</v>
      </c>
      <c r="X149" s="22">
        <v>900</v>
      </c>
      <c r="Y149" s="7"/>
      <c r="Z149" s="20">
        <v>762</v>
      </c>
      <c r="AA149" s="4">
        <v>302</v>
      </c>
      <c r="AB149" s="4">
        <v>500</v>
      </c>
      <c r="AC149" s="14">
        <f t="shared" si="51"/>
        <v>246.53967439131827</v>
      </c>
      <c r="AD149" s="56">
        <v>904.2747718565868</v>
      </c>
      <c r="AE149" s="17">
        <f t="shared" si="61"/>
        <v>1.1573360766364038</v>
      </c>
    </row>
    <row r="150" spans="1:31" ht="30">
      <c r="A150" s="43" t="s">
        <v>588</v>
      </c>
      <c r="B150" s="32" t="s">
        <v>350</v>
      </c>
      <c r="C150" s="7">
        <v>572624</v>
      </c>
      <c r="D150" s="7">
        <v>1925</v>
      </c>
      <c r="E150" s="7">
        <v>36</v>
      </c>
      <c r="F150" s="8">
        <f t="shared" si="60"/>
        <v>178.4802077922078</v>
      </c>
      <c r="G150" s="37">
        <v>389340</v>
      </c>
      <c r="H150" s="7">
        <v>1925</v>
      </c>
      <c r="I150" s="7">
        <v>30</v>
      </c>
      <c r="J150" s="8">
        <f t="shared" si="62"/>
        <v>101.12727272727273</v>
      </c>
      <c r="K150" s="7">
        <v>4711525</v>
      </c>
      <c r="L150" s="7">
        <v>846720</v>
      </c>
      <c r="M150" s="7">
        <v>33</v>
      </c>
      <c r="N150" s="8">
        <f aca="true" t="shared" si="67" ref="N150:N224">K150/L150*M150</f>
        <v>183.6266121031746</v>
      </c>
      <c r="O150" s="8">
        <f t="shared" si="65"/>
        <v>463.2340926226551</v>
      </c>
      <c r="P150" s="8">
        <f t="shared" si="59"/>
        <v>139.89669597204184</v>
      </c>
      <c r="Q150" s="58">
        <f t="shared" si="57"/>
        <v>472.49877447510823</v>
      </c>
      <c r="R150" s="78">
        <f aca="true" t="shared" si="68" ref="R150:R165">13.64+7.38+0.83*5+1.99*3+6.75</f>
        <v>37.89</v>
      </c>
      <c r="S150" s="76">
        <v>37.89</v>
      </c>
      <c r="T150" s="21">
        <f t="shared" si="58"/>
        <v>41.679</v>
      </c>
      <c r="U150" s="9">
        <f t="shared" si="43"/>
        <v>1300.9351751729798</v>
      </c>
      <c r="V150" s="8">
        <f t="shared" si="63"/>
        <v>325.23379379324496</v>
      </c>
      <c r="W150" s="52">
        <f t="shared" si="66"/>
        <v>1626.1689689662248</v>
      </c>
      <c r="X150" s="22">
        <v>1400</v>
      </c>
      <c r="Y150" s="7"/>
      <c r="Z150" s="20">
        <v>1185</v>
      </c>
      <c r="AA150" s="4">
        <v>800</v>
      </c>
      <c r="AB150" s="4">
        <v>1200</v>
      </c>
      <c r="AC150" s="14">
        <f t="shared" si="51"/>
        <v>103.2711211207781</v>
      </c>
      <c r="AD150" s="56">
        <v>1400.2057069142766</v>
      </c>
      <c r="AE150" s="17">
        <f t="shared" si="61"/>
        <v>1.161378618110276</v>
      </c>
    </row>
    <row r="151" spans="1:31" ht="30">
      <c r="A151" s="43" t="s">
        <v>589</v>
      </c>
      <c r="B151" s="31" t="s">
        <v>319</v>
      </c>
      <c r="C151" s="7">
        <v>572624</v>
      </c>
      <c r="D151" s="7">
        <v>1925</v>
      </c>
      <c r="E151" s="7">
        <v>16</v>
      </c>
      <c r="F151" s="8">
        <f t="shared" si="60"/>
        <v>79.3245367965368</v>
      </c>
      <c r="G151" s="37">
        <v>389340</v>
      </c>
      <c r="H151" s="7">
        <v>1925</v>
      </c>
      <c r="I151" s="7">
        <v>11</v>
      </c>
      <c r="J151" s="8">
        <f t="shared" si="62"/>
        <v>37.08</v>
      </c>
      <c r="K151" s="7">
        <v>4711525</v>
      </c>
      <c r="L151" s="7">
        <v>846720</v>
      </c>
      <c r="M151" s="7">
        <v>13</v>
      </c>
      <c r="N151" s="8">
        <f t="shared" si="67"/>
        <v>72.33775628306879</v>
      </c>
      <c r="O151" s="8">
        <f t="shared" si="65"/>
        <v>188.7422930796056</v>
      </c>
      <c r="P151" s="8">
        <f t="shared" si="59"/>
        <v>57.00017251004088</v>
      </c>
      <c r="Q151" s="58">
        <f t="shared" si="57"/>
        <v>192.51713894119771</v>
      </c>
      <c r="R151" s="78">
        <f t="shared" si="68"/>
        <v>37.89</v>
      </c>
      <c r="S151" s="76">
        <v>37.89</v>
      </c>
      <c r="T151" s="21">
        <f t="shared" si="58"/>
        <v>41.679</v>
      </c>
      <c r="U151" s="9">
        <f t="shared" si="43"/>
        <v>552.2763608139129</v>
      </c>
      <c r="V151" s="8">
        <f t="shared" si="63"/>
        <v>138.06909020347823</v>
      </c>
      <c r="W151" s="52">
        <f t="shared" si="66"/>
        <v>690.3454510173912</v>
      </c>
      <c r="X151" s="22">
        <v>600</v>
      </c>
      <c r="Y151" s="7"/>
      <c r="Z151" s="20">
        <v>481</v>
      </c>
      <c r="AA151" s="4">
        <v>240</v>
      </c>
      <c r="AB151" s="4">
        <v>500</v>
      </c>
      <c r="AC151" s="14">
        <f t="shared" si="51"/>
        <v>187.64393792391297</v>
      </c>
      <c r="AD151" s="56">
        <v>600.2970915628457</v>
      </c>
      <c r="AE151" s="17">
        <f t="shared" si="61"/>
        <v>1.1500063230693134</v>
      </c>
    </row>
    <row r="152" spans="1:31" ht="30">
      <c r="A152" s="43" t="s">
        <v>590</v>
      </c>
      <c r="B152" s="31" t="s">
        <v>320</v>
      </c>
      <c r="C152" s="7">
        <v>572624</v>
      </c>
      <c r="D152" s="7">
        <v>1925</v>
      </c>
      <c r="E152" s="7">
        <v>37</v>
      </c>
      <c r="F152" s="8">
        <f t="shared" si="60"/>
        <v>183.43799134199136</v>
      </c>
      <c r="G152" s="37">
        <v>389340</v>
      </c>
      <c r="H152" s="7">
        <v>1925</v>
      </c>
      <c r="I152" s="7">
        <v>33</v>
      </c>
      <c r="J152" s="8">
        <f t="shared" si="62"/>
        <v>111.24</v>
      </c>
      <c r="K152" s="7">
        <v>4711525</v>
      </c>
      <c r="L152" s="7">
        <v>846720</v>
      </c>
      <c r="M152" s="7">
        <v>27</v>
      </c>
      <c r="N152" s="8">
        <f t="shared" si="67"/>
        <v>150.23995535714286</v>
      </c>
      <c r="O152" s="8">
        <f t="shared" si="65"/>
        <v>444.9179466991342</v>
      </c>
      <c r="P152" s="8">
        <f t="shared" si="59"/>
        <v>134.36521990313852</v>
      </c>
      <c r="Q152" s="58">
        <f t="shared" si="57"/>
        <v>453.8163056331169</v>
      </c>
      <c r="R152" s="78">
        <f t="shared" si="68"/>
        <v>37.89</v>
      </c>
      <c r="S152" s="76">
        <v>37.89</v>
      </c>
      <c r="T152" s="21">
        <f t="shared" si="58"/>
        <v>41.679</v>
      </c>
      <c r="U152" s="9">
        <f t="shared" si="43"/>
        <v>1225.0184275925326</v>
      </c>
      <c r="V152" s="8">
        <f t="shared" si="63"/>
        <v>306.25460689813315</v>
      </c>
      <c r="W152" s="52">
        <f t="shared" si="66"/>
        <v>1531.2730344906659</v>
      </c>
      <c r="X152" s="22">
        <v>1200</v>
      </c>
      <c r="Y152" s="7"/>
      <c r="Z152" s="20">
        <v>903</v>
      </c>
      <c r="AA152" s="4">
        <v>302</v>
      </c>
      <c r="AB152" s="4">
        <v>600</v>
      </c>
      <c r="AC152" s="14">
        <f t="shared" si="51"/>
        <v>407.0440511558496</v>
      </c>
      <c r="AD152" s="56">
        <v>1202.022286984172</v>
      </c>
      <c r="AE152" s="17">
        <f t="shared" si="61"/>
        <v>1.2739140123038577</v>
      </c>
    </row>
    <row r="153" spans="1:31" ht="15">
      <c r="A153" s="43" t="s">
        <v>591</v>
      </c>
      <c r="B153" s="31" t="s">
        <v>441</v>
      </c>
      <c r="C153" s="7">
        <v>572624</v>
      </c>
      <c r="D153" s="7">
        <v>1925</v>
      </c>
      <c r="E153" s="7">
        <v>11</v>
      </c>
      <c r="F153" s="8">
        <f t="shared" si="60"/>
        <v>54.53561904761905</v>
      </c>
      <c r="G153" s="37">
        <v>389340</v>
      </c>
      <c r="H153" s="7">
        <v>1925</v>
      </c>
      <c r="I153" s="7">
        <v>10</v>
      </c>
      <c r="J153" s="8">
        <f>G153/H153/60*I153</f>
        <v>33.709090909090904</v>
      </c>
      <c r="K153" s="7">
        <v>4711525</v>
      </c>
      <c r="L153" s="7">
        <v>846720</v>
      </c>
      <c r="M153" s="7">
        <v>12</v>
      </c>
      <c r="N153" s="8">
        <f>K153/L153*M153</f>
        <v>66.7733134920635</v>
      </c>
      <c r="O153" s="8">
        <f>F153+J153+N153</f>
        <v>155.01802344877345</v>
      </c>
      <c r="P153" s="8">
        <f>O153*0.302</f>
        <v>46.81544308152958</v>
      </c>
      <c r="Q153" s="58">
        <f>(O153)*102%</f>
        <v>158.11838391774893</v>
      </c>
      <c r="R153" s="78">
        <f t="shared" si="68"/>
        <v>37.89</v>
      </c>
      <c r="S153" s="76">
        <v>37.89</v>
      </c>
      <c r="T153" s="21">
        <f t="shared" si="58"/>
        <v>41.679</v>
      </c>
      <c r="U153" s="9">
        <f t="shared" si="43"/>
        <v>468.4041639401155</v>
      </c>
      <c r="V153" s="8">
        <f>U153*25%</f>
        <v>117.10104098502887</v>
      </c>
      <c r="W153" s="52">
        <f>U153+V153</f>
        <v>585.5052049251444</v>
      </c>
      <c r="X153" s="22">
        <v>500</v>
      </c>
      <c r="Y153" s="7"/>
      <c r="Z153" s="20">
        <v>868</v>
      </c>
      <c r="AA153" s="4">
        <v>302</v>
      </c>
      <c r="AB153" s="4">
        <v>400</v>
      </c>
      <c r="AC153" s="14">
        <f>(100*W153)/AA153-100</f>
        <v>93.87589567057762</v>
      </c>
      <c r="AD153" s="56">
        <v>499.80634349657294</v>
      </c>
      <c r="AE153" s="17">
        <f t="shared" si="61"/>
        <v>1.1714641331461195</v>
      </c>
    </row>
    <row r="154" spans="1:31" ht="15">
      <c r="A154" s="43" t="s">
        <v>592</v>
      </c>
      <c r="B154" s="31" t="s">
        <v>313</v>
      </c>
      <c r="C154" s="7">
        <v>572624</v>
      </c>
      <c r="D154" s="7">
        <v>1925</v>
      </c>
      <c r="E154" s="7">
        <v>30</v>
      </c>
      <c r="F154" s="8">
        <f t="shared" si="60"/>
        <v>148.7335064935065</v>
      </c>
      <c r="G154" s="37">
        <v>389340</v>
      </c>
      <c r="H154" s="7">
        <v>1925</v>
      </c>
      <c r="I154" s="7">
        <v>20</v>
      </c>
      <c r="J154" s="8">
        <f t="shared" si="62"/>
        <v>67.41818181818181</v>
      </c>
      <c r="K154" s="7">
        <v>4711525</v>
      </c>
      <c r="L154" s="7">
        <v>846720</v>
      </c>
      <c r="M154" s="7">
        <v>22</v>
      </c>
      <c r="N154" s="8">
        <f t="shared" si="67"/>
        <v>122.4177414021164</v>
      </c>
      <c r="O154" s="8">
        <f t="shared" si="65"/>
        <v>338.5694297138047</v>
      </c>
      <c r="P154" s="8">
        <f t="shared" si="59"/>
        <v>102.24796777356902</v>
      </c>
      <c r="Q154" s="58">
        <f t="shared" si="57"/>
        <v>345.3408183080808</v>
      </c>
      <c r="R154" s="78">
        <f t="shared" si="68"/>
        <v>37.89</v>
      </c>
      <c r="S154" s="76">
        <v>37.89</v>
      </c>
      <c r="T154" s="21">
        <f t="shared" si="58"/>
        <v>41.679</v>
      </c>
      <c r="U154" s="9">
        <f t="shared" si="43"/>
        <v>950.2549571975709</v>
      </c>
      <c r="V154" s="8">
        <f t="shared" si="63"/>
        <v>237.56373929939272</v>
      </c>
      <c r="W154" s="52">
        <f t="shared" si="66"/>
        <v>1187.8186964969636</v>
      </c>
      <c r="X154" s="22">
        <v>1100</v>
      </c>
      <c r="Y154" s="7"/>
      <c r="Z154" s="20">
        <v>868</v>
      </c>
      <c r="AA154" s="4">
        <v>302</v>
      </c>
      <c r="AB154" s="4">
        <v>400</v>
      </c>
      <c r="AC154" s="14">
        <f t="shared" si="51"/>
        <v>293.31744917118004</v>
      </c>
      <c r="AD154" s="56">
        <v>1009.1061441593013</v>
      </c>
      <c r="AE154" s="17">
        <f t="shared" si="61"/>
        <v>1.1770998555226815</v>
      </c>
    </row>
    <row r="155" spans="1:31" ht="15">
      <c r="A155" s="43" t="s">
        <v>593</v>
      </c>
      <c r="B155" s="31" t="s">
        <v>314</v>
      </c>
      <c r="C155" s="7">
        <v>572624</v>
      </c>
      <c r="D155" s="7">
        <v>1925</v>
      </c>
      <c r="E155" s="7">
        <v>17</v>
      </c>
      <c r="F155" s="8">
        <f t="shared" si="60"/>
        <v>84.28232034632036</v>
      </c>
      <c r="G155" s="37">
        <v>389340</v>
      </c>
      <c r="H155" s="7">
        <v>1925</v>
      </c>
      <c r="I155" s="7">
        <v>10</v>
      </c>
      <c r="J155" s="8">
        <f t="shared" si="62"/>
        <v>33.709090909090904</v>
      </c>
      <c r="K155" s="7">
        <v>4711525</v>
      </c>
      <c r="L155" s="7">
        <v>846720</v>
      </c>
      <c r="M155" s="7">
        <v>8</v>
      </c>
      <c r="N155" s="8">
        <f t="shared" si="67"/>
        <v>44.51554232804233</v>
      </c>
      <c r="O155" s="8">
        <f t="shared" si="65"/>
        <v>162.5069535834536</v>
      </c>
      <c r="P155" s="8">
        <f t="shared" si="59"/>
        <v>49.07709998220298</v>
      </c>
      <c r="Q155" s="58">
        <f t="shared" si="57"/>
        <v>165.75709265512268</v>
      </c>
      <c r="R155" s="78">
        <f t="shared" si="68"/>
        <v>37.89</v>
      </c>
      <c r="S155" s="76">
        <v>37.89</v>
      </c>
      <c r="T155" s="21">
        <f t="shared" si="58"/>
        <v>41.679</v>
      </c>
      <c r="U155" s="9">
        <f t="shared" si="43"/>
        <v>463.53568854882155</v>
      </c>
      <c r="V155" s="8">
        <f t="shared" si="63"/>
        <v>115.88392213720539</v>
      </c>
      <c r="W155" s="52">
        <f t="shared" si="66"/>
        <v>579.419610686027</v>
      </c>
      <c r="X155" s="22">
        <v>500</v>
      </c>
      <c r="Y155" s="7"/>
      <c r="Z155" s="20">
        <v>339</v>
      </c>
      <c r="AA155" s="4">
        <v>302</v>
      </c>
      <c r="AB155" s="4">
        <v>200</v>
      </c>
      <c r="AC155" s="14">
        <f t="shared" si="51"/>
        <v>91.8607982404063</v>
      </c>
      <c r="AD155" s="56">
        <v>500.7873491535594</v>
      </c>
      <c r="AE155" s="17">
        <f t="shared" si="61"/>
        <v>1.1570172682384519</v>
      </c>
    </row>
    <row r="156" spans="1:31" ht="15">
      <c r="A156" s="43" t="s">
        <v>594</v>
      </c>
      <c r="B156" s="31" t="s">
        <v>322</v>
      </c>
      <c r="C156" s="7">
        <v>572624</v>
      </c>
      <c r="D156" s="7">
        <v>1925</v>
      </c>
      <c r="E156" s="7">
        <v>22</v>
      </c>
      <c r="F156" s="8">
        <f t="shared" si="60"/>
        <v>109.0712380952381</v>
      </c>
      <c r="G156" s="37">
        <v>389340</v>
      </c>
      <c r="H156" s="7">
        <v>1925</v>
      </c>
      <c r="I156" s="7">
        <v>18</v>
      </c>
      <c r="J156" s="8">
        <f t="shared" si="62"/>
        <v>60.67636363636363</v>
      </c>
      <c r="K156" s="7">
        <v>4711525</v>
      </c>
      <c r="L156" s="7">
        <v>846720</v>
      </c>
      <c r="M156" s="7">
        <v>17</v>
      </c>
      <c r="N156" s="8">
        <f t="shared" si="67"/>
        <v>94.59552744708995</v>
      </c>
      <c r="O156" s="8">
        <f t="shared" si="65"/>
        <v>264.3431291786917</v>
      </c>
      <c r="P156" s="8">
        <f t="shared" si="59"/>
        <v>79.83162501196489</v>
      </c>
      <c r="Q156" s="58">
        <f t="shared" si="57"/>
        <v>269.62999176226555</v>
      </c>
      <c r="R156" s="78">
        <f t="shared" si="68"/>
        <v>37.89</v>
      </c>
      <c r="S156" s="76">
        <v>37.89</v>
      </c>
      <c r="T156" s="21">
        <f t="shared" si="58"/>
        <v>41.679</v>
      </c>
      <c r="U156" s="9">
        <f t="shared" si="43"/>
        <v>750.0792734000121</v>
      </c>
      <c r="V156" s="8">
        <f t="shared" si="63"/>
        <v>187.51981835000302</v>
      </c>
      <c r="W156" s="52">
        <f t="shared" si="66"/>
        <v>937.5990917500151</v>
      </c>
      <c r="X156" s="22">
        <v>800</v>
      </c>
      <c r="Y156" s="7"/>
      <c r="Z156" s="20">
        <v>480</v>
      </c>
      <c r="AA156" s="4">
        <v>551</v>
      </c>
      <c r="AB156" s="4">
        <v>400</v>
      </c>
      <c r="AC156" s="14">
        <f t="shared" si="51"/>
        <v>70.16317454628222</v>
      </c>
      <c r="AD156" s="56">
        <v>800.3338172305347</v>
      </c>
      <c r="AE156" s="17">
        <f t="shared" si="61"/>
        <v>1.171510026896616</v>
      </c>
    </row>
    <row r="157" spans="1:31" ht="30">
      <c r="A157" s="43" t="s">
        <v>595</v>
      </c>
      <c r="B157" s="31" t="s">
        <v>326</v>
      </c>
      <c r="C157" s="7">
        <v>572624</v>
      </c>
      <c r="D157" s="7">
        <v>1925</v>
      </c>
      <c r="E157" s="7">
        <v>45</v>
      </c>
      <c r="F157" s="8">
        <f t="shared" si="60"/>
        <v>223.10025974025976</v>
      </c>
      <c r="G157" s="37">
        <v>389340</v>
      </c>
      <c r="H157" s="7">
        <v>1925</v>
      </c>
      <c r="I157" s="7">
        <v>40</v>
      </c>
      <c r="J157" s="8">
        <f t="shared" si="62"/>
        <v>134.83636363636361</v>
      </c>
      <c r="K157" s="7">
        <v>4711525</v>
      </c>
      <c r="L157" s="7">
        <v>846720</v>
      </c>
      <c r="M157" s="7">
        <v>45</v>
      </c>
      <c r="N157" s="8">
        <f t="shared" si="67"/>
        <v>250.3999255952381</v>
      </c>
      <c r="O157" s="8">
        <f t="shared" si="65"/>
        <v>608.3365489718615</v>
      </c>
      <c r="P157" s="8">
        <f t="shared" si="59"/>
        <v>183.71763778950216</v>
      </c>
      <c r="Q157" s="58">
        <f t="shared" si="57"/>
        <v>620.5032799512987</v>
      </c>
      <c r="R157" s="78">
        <f t="shared" si="68"/>
        <v>37.89</v>
      </c>
      <c r="S157" s="76">
        <v>37.89</v>
      </c>
      <c r="T157" s="21">
        <f t="shared" si="58"/>
        <v>41.679</v>
      </c>
      <c r="U157" s="9">
        <f t="shared" si="43"/>
        <v>1704.6363923079005</v>
      </c>
      <c r="V157" s="8">
        <f t="shared" si="63"/>
        <v>426.1590980769751</v>
      </c>
      <c r="W157" s="52">
        <f t="shared" si="66"/>
        <v>2130.7954903848754</v>
      </c>
      <c r="X157" s="22">
        <v>1800</v>
      </c>
      <c r="Y157" s="7"/>
      <c r="Z157" s="20">
        <v>1255</v>
      </c>
      <c r="AA157" s="4">
        <v>1023</v>
      </c>
      <c r="AB157" s="4">
        <v>1200</v>
      </c>
      <c r="AC157" s="14">
        <f t="shared" si="51"/>
        <v>108.28890424094578</v>
      </c>
      <c r="AD157" s="56">
        <v>1800.2066878653952</v>
      </c>
      <c r="AE157" s="17">
        <f t="shared" si="61"/>
        <v>1.1836393591624068</v>
      </c>
    </row>
    <row r="158" spans="1:31" ht="30">
      <c r="A158" s="43" t="s">
        <v>596</v>
      </c>
      <c r="B158" s="31" t="s">
        <v>324</v>
      </c>
      <c r="C158" s="7">
        <v>572624</v>
      </c>
      <c r="D158" s="7">
        <v>1925</v>
      </c>
      <c r="E158" s="7">
        <v>45</v>
      </c>
      <c r="F158" s="8">
        <f aca="true" t="shared" si="69" ref="F158:F164">C158/D158/60*E158</f>
        <v>223.10025974025976</v>
      </c>
      <c r="G158" s="37">
        <v>389340</v>
      </c>
      <c r="H158" s="7">
        <v>1925</v>
      </c>
      <c r="I158" s="7">
        <v>40</v>
      </c>
      <c r="J158" s="8">
        <f>G158/H158/60*I158</f>
        <v>134.83636363636361</v>
      </c>
      <c r="K158" s="7">
        <v>4711525</v>
      </c>
      <c r="L158" s="7">
        <v>846720</v>
      </c>
      <c r="M158" s="7">
        <v>45</v>
      </c>
      <c r="N158" s="8">
        <f t="shared" si="67"/>
        <v>250.3999255952381</v>
      </c>
      <c r="O158" s="8">
        <f t="shared" si="65"/>
        <v>608.3365489718615</v>
      </c>
      <c r="P158" s="8">
        <f t="shared" si="59"/>
        <v>183.71763778950216</v>
      </c>
      <c r="Q158" s="58">
        <f t="shared" si="57"/>
        <v>620.5032799512987</v>
      </c>
      <c r="R158" s="78">
        <f t="shared" si="68"/>
        <v>37.89</v>
      </c>
      <c r="S158" s="76">
        <v>37.89</v>
      </c>
      <c r="T158" s="21">
        <f t="shared" si="58"/>
        <v>41.679</v>
      </c>
      <c r="U158" s="9">
        <f aca="true" t="shared" si="70" ref="U158:U221">N158+O158+P158+Q158+T158</f>
        <v>1704.6363923079005</v>
      </c>
      <c r="V158" s="8">
        <f t="shared" si="63"/>
        <v>426.1590980769751</v>
      </c>
      <c r="W158" s="52">
        <f t="shared" si="66"/>
        <v>2130.7954903848754</v>
      </c>
      <c r="X158" s="22">
        <v>1800</v>
      </c>
      <c r="Y158" s="7"/>
      <c r="Z158" s="20">
        <v>1255</v>
      </c>
      <c r="AA158" s="4">
        <v>1023</v>
      </c>
      <c r="AB158" s="4">
        <v>1200</v>
      </c>
      <c r="AC158" s="14">
        <f t="shared" si="51"/>
        <v>108.28890424094578</v>
      </c>
      <c r="AD158" s="56">
        <v>1800.2066878653952</v>
      </c>
      <c r="AE158" s="17">
        <f t="shared" si="61"/>
        <v>1.1836393591624068</v>
      </c>
    </row>
    <row r="159" spans="1:31" ht="45">
      <c r="A159" s="43" t="s">
        <v>597</v>
      </c>
      <c r="B159" s="31" t="s">
        <v>323</v>
      </c>
      <c r="C159" s="7">
        <v>572624</v>
      </c>
      <c r="D159" s="7">
        <v>1925</v>
      </c>
      <c r="E159" s="7">
        <v>45</v>
      </c>
      <c r="F159" s="8">
        <f t="shared" si="69"/>
        <v>223.10025974025976</v>
      </c>
      <c r="G159" s="37">
        <v>389340</v>
      </c>
      <c r="H159" s="7">
        <v>1925</v>
      </c>
      <c r="I159" s="7">
        <v>40</v>
      </c>
      <c r="J159" s="8">
        <f>G159/H159/60*I159</f>
        <v>134.83636363636361</v>
      </c>
      <c r="K159" s="7">
        <v>4711525</v>
      </c>
      <c r="L159" s="7">
        <v>846720</v>
      </c>
      <c r="M159" s="7">
        <v>45</v>
      </c>
      <c r="N159" s="8">
        <f t="shared" si="67"/>
        <v>250.3999255952381</v>
      </c>
      <c r="O159" s="8">
        <f t="shared" si="65"/>
        <v>608.3365489718615</v>
      </c>
      <c r="P159" s="8">
        <f t="shared" si="59"/>
        <v>183.71763778950216</v>
      </c>
      <c r="Q159" s="58">
        <f t="shared" si="57"/>
        <v>620.5032799512987</v>
      </c>
      <c r="R159" s="78">
        <f t="shared" si="68"/>
        <v>37.89</v>
      </c>
      <c r="S159" s="76">
        <v>37.89</v>
      </c>
      <c r="T159" s="21">
        <f t="shared" si="58"/>
        <v>41.679</v>
      </c>
      <c r="U159" s="9">
        <f t="shared" si="70"/>
        <v>1704.6363923079005</v>
      </c>
      <c r="V159" s="8">
        <f t="shared" si="63"/>
        <v>426.1590980769751</v>
      </c>
      <c r="W159" s="52">
        <f t="shared" si="66"/>
        <v>2130.7954903848754</v>
      </c>
      <c r="X159" s="22">
        <v>1800</v>
      </c>
      <c r="Y159" s="7"/>
      <c r="Z159" s="20">
        <v>1749</v>
      </c>
      <c r="AA159" s="4">
        <v>1023</v>
      </c>
      <c r="AB159" s="4">
        <v>2000</v>
      </c>
      <c r="AC159" s="14">
        <f t="shared" si="51"/>
        <v>108.28890424094578</v>
      </c>
      <c r="AD159" s="56">
        <v>1800.2066878653952</v>
      </c>
      <c r="AE159" s="17">
        <f t="shared" si="61"/>
        <v>1.1836393591624068</v>
      </c>
    </row>
    <row r="160" spans="1:31" ht="30">
      <c r="A160" s="43" t="s">
        <v>598</v>
      </c>
      <c r="B160" s="31" t="s">
        <v>325</v>
      </c>
      <c r="C160" s="7">
        <v>572624</v>
      </c>
      <c r="D160" s="7">
        <v>1925</v>
      </c>
      <c r="E160" s="7">
        <v>45</v>
      </c>
      <c r="F160" s="8">
        <f t="shared" si="69"/>
        <v>223.10025974025976</v>
      </c>
      <c r="G160" s="37">
        <v>389340</v>
      </c>
      <c r="H160" s="7">
        <v>1925</v>
      </c>
      <c r="I160" s="7">
        <v>40</v>
      </c>
      <c r="J160" s="8">
        <f>G160/H160/60*I160</f>
        <v>134.83636363636361</v>
      </c>
      <c r="K160" s="7">
        <v>4711525</v>
      </c>
      <c r="L160" s="7">
        <v>846720</v>
      </c>
      <c r="M160" s="7">
        <v>45</v>
      </c>
      <c r="N160" s="8">
        <f t="shared" si="67"/>
        <v>250.3999255952381</v>
      </c>
      <c r="O160" s="8">
        <f t="shared" si="65"/>
        <v>608.3365489718615</v>
      </c>
      <c r="P160" s="8">
        <f t="shared" si="59"/>
        <v>183.71763778950216</v>
      </c>
      <c r="Q160" s="58">
        <f t="shared" si="57"/>
        <v>620.5032799512987</v>
      </c>
      <c r="R160" s="78">
        <f t="shared" si="68"/>
        <v>37.89</v>
      </c>
      <c r="S160" s="76">
        <v>37.89</v>
      </c>
      <c r="T160" s="21">
        <f t="shared" si="58"/>
        <v>41.679</v>
      </c>
      <c r="U160" s="9">
        <f t="shared" si="70"/>
        <v>1704.6363923079005</v>
      </c>
      <c r="V160" s="8">
        <f t="shared" si="63"/>
        <v>426.1590980769751</v>
      </c>
      <c r="W160" s="52">
        <f t="shared" si="66"/>
        <v>2130.7954903848754</v>
      </c>
      <c r="X160" s="22">
        <v>1800</v>
      </c>
      <c r="Y160" s="7"/>
      <c r="Z160" s="20">
        <v>1749</v>
      </c>
      <c r="AA160" s="4">
        <v>1023</v>
      </c>
      <c r="AB160" s="4">
        <v>2000</v>
      </c>
      <c r="AC160" s="14">
        <f t="shared" si="51"/>
        <v>108.28890424094578</v>
      </c>
      <c r="AD160" s="56">
        <v>1800.2066878653952</v>
      </c>
      <c r="AE160" s="17">
        <f t="shared" si="61"/>
        <v>1.1836393591624068</v>
      </c>
    </row>
    <row r="161" spans="1:31" ht="15">
      <c r="A161" s="43" t="s">
        <v>599</v>
      </c>
      <c r="B161" s="31" t="s">
        <v>327</v>
      </c>
      <c r="C161" s="7">
        <v>572624</v>
      </c>
      <c r="D161" s="7">
        <v>1925</v>
      </c>
      <c r="E161" s="7">
        <v>25</v>
      </c>
      <c r="F161" s="8">
        <f t="shared" si="69"/>
        <v>123.94458874458876</v>
      </c>
      <c r="G161" s="37">
        <v>389340</v>
      </c>
      <c r="H161" s="7">
        <v>1925</v>
      </c>
      <c r="I161" s="7">
        <v>20</v>
      </c>
      <c r="J161" s="8">
        <f t="shared" si="62"/>
        <v>67.41818181818181</v>
      </c>
      <c r="K161" s="7">
        <v>4711525</v>
      </c>
      <c r="L161" s="7">
        <v>846720</v>
      </c>
      <c r="M161" s="7">
        <v>19</v>
      </c>
      <c r="N161" s="8">
        <f t="shared" si="67"/>
        <v>105.72441302910053</v>
      </c>
      <c r="O161" s="8">
        <f t="shared" si="65"/>
        <v>297.08718359187105</v>
      </c>
      <c r="P161" s="8">
        <f t="shared" si="59"/>
        <v>89.72032944474506</v>
      </c>
      <c r="Q161" s="58">
        <f t="shared" si="57"/>
        <v>303.02892726370845</v>
      </c>
      <c r="R161" s="78">
        <f t="shared" si="68"/>
        <v>37.89</v>
      </c>
      <c r="S161" s="76">
        <v>37.89</v>
      </c>
      <c r="T161" s="21">
        <f t="shared" si="58"/>
        <v>41.679</v>
      </c>
      <c r="U161" s="9">
        <f t="shared" si="70"/>
        <v>837.239853329425</v>
      </c>
      <c r="V161" s="8">
        <f t="shared" si="63"/>
        <v>209.30996333235626</v>
      </c>
      <c r="W161" s="52">
        <f t="shared" si="66"/>
        <v>1046.5498166617813</v>
      </c>
      <c r="X161" s="22">
        <v>900</v>
      </c>
      <c r="Y161" s="7"/>
      <c r="Z161" s="20">
        <v>903</v>
      </c>
      <c r="AB161" s="4">
        <v>800</v>
      </c>
      <c r="AC161" s="14"/>
      <c r="AD161" s="56">
        <v>902.4577013111322</v>
      </c>
      <c r="AE161" s="17">
        <f t="shared" si="61"/>
        <v>1.1596663368724156</v>
      </c>
    </row>
    <row r="162" spans="1:31" ht="15">
      <c r="A162" s="43" t="s">
        <v>600</v>
      </c>
      <c r="B162" s="31" t="s">
        <v>328</v>
      </c>
      <c r="C162" s="7">
        <v>572624</v>
      </c>
      <c r="D162" s="7">
        <v>1925</v>
      </c>
      <c r="E162" s="7">
        <v>35</v>
      </c>
      <c r="F162" s="8">
        <f t="shared" si="69"/>
        <v>173.52242424242425</v>
      </c>
      <c r="G162" s="37">
        <v>389340</v>
      </c>
      <c r="H162" s="7">
        <v>1925</v>
      </c>
      <c r="I162" s="7">
        <v>30</v>
      </c>
      <c r="J162" s="8">
        <f t="shared" si="62"/>
        <v>101.12727272727273</v>
      </c>
      <c r="K162" s="7">
        <v>4711525</v>
      </c>
      <c r="L162" s="7">
        <v>846720</v>
      </c>
      <c r="M162" s="7">
        <v>40</v>
      </c>
      <c r="N162" s="8">
        <f t="shared" si="67"/>
        <v>222.57771164021165</v>
      </c>
      <c r="O162" s="8">
        <f t="shared" si="65"/>
        <v>497.2274086099086</v>
      </c>
      <c r="P162" s="8">
        <f t="shared" si="59"/>
        <v>150.1626774001924</v>
      </c>
      <c r="Q162" s="58">
        <f t="shared" si="57"/>
        <v>507.17195678210675</v>
      </c>
      <c r="R162" s="78">
        <f t="shared" si="68"/>
        <v>37.89</v>
      </c>
      <c r="S162" s="76">
        <v>37.89</v>
      </c>
      <c r="T162" s="21">
        <f t="shared" si="58"/>
        <v>41.679</v>
      </c>
      <c r="U162" s="9">
        <f t="shared" si="70"/>
        <v>1418.8187544324194</v>
      </c>
      <c r="V162" s="8">
        <f t="shared" si="63"/>
        <v>354.70468860810485</v>
      </c>
      <c r="W162" s="52">
        <f t="shared" si="66"/>
        <v>1773.5234430405242</v>
      </c>
      <c r="X162" s="22">
        <v>1500</v>
      </c>
      <c r="Y162" s="7"/>
      <c r="Z162" s="20">
        <v>1185</v>
      </c>
      <c r="AB162" s="4">
        <v>1200</v>
      </c>
      <c r="AC162" s="14"/>
      <c r="AD162" s="56">
        <v>1505.1304257677973</v>
      </c>
      <c r="AE162" s="17">
        <f t="shared" si="61"/>
        <v>1.1783187773483579</v>
      </c>
    </row>
    <row r="163" spans="1:31" ht="15">
      <c r="A163" s="43" t="s">
        <v>601</v>
      </c>
      <c r="B163" s="31" t="s">
        <v>369</v>
      </c>
      <c r="C163" s="7">
        <v>572624</v>
      </c>
      <c r="D163" s="7">
        <v>1925</v>
      </c>
      <c r="E163" s="7">
        <v>15</v>
      </c>
      <c r="F163" s="8">
        <f t="shared" si="69"/>
        <v>74.36675324675325</v>
      </c>
      <c r="G163" s="37">
        <v>389340</v>
      </c>
      <c r="H163" s="7">
        <v>1925</v>
      </c>
      <c r="I163" s="7">
        <v>10</v>
      </c>
      <c r="J163" s="8">
        <f t="shared" si="62"/>
        <v>33.709090909090904</v>
      </c>
      <c r="K163" s="7">
        <v>4711525</v>
      </c>
      <c r="L163" s="7">
        <v>846720</v>
      </c>
      <c r="M163" s="7">
        <v>10</v>
      </c>
      <c r="N163" s="8">
        <f t="shared" si="67"/>
        <v>55.64442791005291</v>
      </c>
      <c r="O163" s="8">
        <f t="shared" si="65"/>
        <v>163.72027206589706</v>
      </c>
      <c r="P163" s="8">
        <f>O163*0.302</f>
        <v>49.44352216390091</v>
      </c>
      <c r="Q163" s="58">
        <f t="shared" si="57"/>
        <v>166.99467750721502</v>
      </c>
      <c r="R163" s="78">
        <f t="shared" si="68"/>
        <v>37.89</v>
      </c>
      <c r="S163" s="76">
        <v>37.89</v>
      </c>
      <c r="T163" s="21">
        <f t="shared" si="58"/>
        <v>41.679</v>
      </c>
      <c r="U163" s="9">
        <f t="shared" si="70"/>
        <v>477.4818996470659</v>
      </c>
      <c r="V163" s="8">
        <f t="shared" si="63"/>
        <v>119.37047491176648</v>
      </c>
      <c r="W163" s="52">
        <f>U163+V163</f>
        <v>596.8523745588324</v>
      </c>
      <c r="X163" s="22">
        <v>500</v>
      </c>
      <c r="Y163" s="7"/>
      <c r="Z163" s="20"/>
      <c r="AA163" s="4">
        <v>302</v>
      </c>
      <c r="AC163" s="14">
        <f>(100*W163)/AA163-100</f>
        <v>97.63323660888489</v>
      </c>
      <c r="AD163" s="56">
        <v>505.1279733900012</v>
      </c>
      <c r="AE163" s="17">
        <f t="shared" si="61"/>
        <v>1.1815864612550615</v>
      </c>
    </row>
    <row r="164" spans="1:31" ht="15">
      <c r="A164" s="43" t="s">
        <v>602</v>
      </c>
      <c r="B164" s="31" t="s">
        <v>370</v>
      </c>
      <c r="C164" s="7">
        <v>572624</v>
      </c>
      <c r="D164" s="7">
        <v>1925</v>
      </c>
      <c r="E164" s="7">
        <v>15</v>
      </c>
      <c r="F164" s="8">
        <f t="shared" si="69"/>
        <v>74.36675324675325</v>
      </c>
      <c r="G164" s="37">
        <v>389340</v>
      </c>
      <c r="H164" s="7">
        <v>1925</v>
      </c>
      <c r="I164" s="7">
        <v>10</v>
      </c>
      <c r="J164" s="8">
        <f>G164/H164/60*I164</f>
        <v>33.709090909090904</v>
      </c>
      <c r="K164" s="7">
        <v>4711525</v>
      </c>
      <c r="L164" s="7">
        <v>846720</v>
      </c>
      <c r="M164" s="7">
        <v>10</v>
      </c>
      <c r="N164" s="8">
        <f t="shared" si="67"/>
        <v>55.64442791005291</v>
      </c>
      <c r="O164" s="8">
        <f t="shared" si="65"/>
        <v>163.72027206589706</v>
      </c>
      <c r="P164" s="8">
        <f>O164*0.302</f>
        <v>49.44352216390091</v>
      </c>
      <c r="Q164" s="58">
        <f t="shared" si="57"/>
        <v>166.99467750721502</v>
      </c>
      <c r="R164" s="78">
        <f t="shared" si="68"/>
        <v>37.89</v>
      </c>
      <c r="S164" s="76">
        <v>37.89</v>
      </c>
      <c r="T164" s="21">
        <f t="shared" si="58"/>
        <v>41.679</v>
      </c>
      <c r="U164" s="9">
        <f t="shared" si="70"/>
        <v>477.4818996470659</v>
      </c>
      <c r="V164" s="8">
        <f t="shared" si="63"/>
        <v>119.37047491176648</v>
      </c>
      <c r="W164" s="52">
        <f>U164+V164</f>
        <v>596.8523745588324</v>
      </c>
      <c r="X164" s="22">
        <v>500</v>
      </c>
      <c r="Y164" s="7"/>
      <c r="Z164" s="20"/>
      <c r="AA164" s="4">
        <v>302</v>
      </c>
      <c r="AC164" s="14">
        <f>(100*W164)/AA164-100</f>
        <v>97.63323660888489</v>
      </c>
      <c r="AD164" s="56">
        <v>505.1279733900012</v>
      </c>
      <c r="AE164" s="17">
        <f t="shared" si="61"/>
        <v>1.1815864612550615</v>
      </c>
    </row>
    <row r="165" spans="1:31" ht="15">
      <c r="A165" s="43" t="s">
        <v>603</v>
      </c>
      <c r="B165" s="31" t="s">
        <v>115</v>
      </c>
      <c r="C165" s="7">
        <v>572624</v>
      </c>
      <c r="D165" s="7">
        <v>1925</v>
      </c>
      <c r="E165" s="7">
        <v>9</v>
      </c>
      <c r="F165" s="8">
        <f>C165/D165/60*E165</f>
        <v>44.62005194805195</v>
      </c>
      <c r="G165" s="37">
        <v>389340</v>
      </c>
      <c r="H165" s="7">
        <v>1925</v>
      </c>
      <c r="I165" s="25">
        <v>6</v>
      </c>
      <c r="J165" s="8">
        <f t="shared" si="62"/>
        <v>20.225454545454543</v>
      </c>
      <c r="K165" s="7">
        <v>4711525</v>
      </c>
      <c r="L165" s="7">
        <v>846720</v>
      </c>
      <c r="M165" s="7">
        <v>10</v>
      </c>
      <c r="N165" s="8">
        <f t="shared" si="67"/>
        <v>55.64442791005291</v>
      </c>
      <c r="O165" s="8">
        <f t="shared" si="65"/>
        <v>120.4899344035594</v>
      </c>
      <c r="P165" s="8">
        <f t="shared" si="59"/>
        <v>36.38796018987494</v>
      </c>
      <c r="Q165" s="58">
        <f t="shared" si="57"/>
        <v>122.8997330916306</v>
      </c>
      <c r="R165" s="78">
        <f t="shared" si="68"/>
        <v>37.89</v>
      </c>
      <c r="S165" s="79">
        <v>37.89</v>
      </c>
      <c r="T165" s="21">
        <f t="shared" si="58"/>
        <v>41.679</v>
      </c>
      <c r="U165" s="9">
        <f t="shared" si="70"/>
        <v>377.1010555951178</v>
      </c>
      <c r="V165" s="8">
        <f t="shared" si="63"/>
        <v>94.27526389877946</v>
      </c>
      <c r="W165" s="52">
        <f t="shared" si="66"/>
        <v>471.3763194938973</v>
      </c>
      <c r="X165" s="22">
        <v>400</v>
      </c>
      <c r="Y165" s="7"/>
      <c r="Z165" s="20">
        <v>339</v>
      </c>
      <c r="AA165" s="4">
        <v>302</v>
      </c>
      <c r="AC165" s="14">
        <f t="shared" si="51"/>
        <v>56.08487400460177</v>
      </c>
      <c r="AD165" s="56">
        <v>401.15078357181926</v>
      </c>
      <c r="AE165" s="17">
        <f t="shared" si="61"/>
        <v>1.1750601988030402</v>
      </c>
    </row>
    <row r="166" spans="1:31" s="6" customFormat="1" ht="15">
      <c r="A166" s="43"/>
      <c r="B166" s="85" t="s">
        <v>137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7"/>
      <c r="S166" s="87"/>
      <c r="T166" s="86"/>
      <c r="U166" s="86"/>
      <c r="V166" s="86"/>
      <c r="W166" s="88"/>
      <c r="X166" s="23"/>
      <c r="Y166" s="21"/>
      <c r="Z166" s="20"/>
      <c r="AA166" s="4"/>
      <c r="AB166" s="4"/>
      <c r="AC166" s="14"/>
      <c r="AD166" s="66"/>
      <c r="AE166" s="17"/>
    </row>
    <row r="167" spans="1:31" ht="26.25" customHeight="1">
      <c r="A167" s="43" t="s">
        <v>604</v>
      </c>
      <c r="B167" s="31" t="s">
        <v>152</v>
      </c>
      <c r="C167" s="7">
        <v>572624</v>
      </c>
      <c r="D167" s="7">
        <v>1925</v>
      </c>
      <c r="E167" s="7">
        <v>12</v>
      </c>
      <c r="F167" s="8">
        <f aca="true" t="shared" si="71" ref="F167:F185">C167/D167/60*E167</f>
        <v>59.49340259740261</v>
      </c>
      <c r="G167" s="37">
        <v>389340</v>
      </c>
      <c r="H167" s="26">
        <v>1925</v>
      </c>
      <c r="I167" s="7">
        <v>10</v>
      </c>
      <c r="J167" s="8">
        <f aca="true" t="shared" si="72" ref="J167:J185">G167/H167/60*I167</f>
        <v>33.709090909090904</v>
      </c>
      <c r="K167" s="7">
        <f>'[2]Лист1'!$O$405+'[2]Лист1'!$O$114</f>
        <v>111570.32</v>
      </c>
      <c r="L167" s="7">
        <v>846720</v>
      </c>
      <c r="M167" s="7">
        <v>15</v>
      </c>
      <c r="N167" s="8">
        <f t="shared" si="67"/>
        <v>1.9765150226757373</v>
      </c>
      <c r="O167" s="8">
        <f>F167+J167</f>
        <v>93.20249350649351</v>
      </c>
      <c r="P167" s="8">
        <f>O167*0.302</f>
        <v>28.14715303896104</v>
      </c>
      <c r="Q167" s="59">
        <f>(O167)*102%</f>
        <v>95.06654337662339</v>
      </c>
      <c r="R167" s="78">
        <f>0.83*2+1.99+13.64</f>
        <v>17.29</v>
      </c>
      <c r="S167" s="79">
        <v>17.29</v>
      </c>
      <c r="T167" s="21">
        <f>S167*1.15</f>
        <v>19.883499999999998</v>
      </c>
      <c r="U167" s="9">
        <f t="shared" si="70"/>
        <v>238.2762049447537</v>
      </c>
      <c r="V167" s="8">
        <f aca="true" t="shared" si="73" ref="V167:V185">U167*25%</f>
        <v>59.56905123618842</v>
      </c>
      <c r="W167" s="52">
        <f>U167+V167</f>
        <v>297.8452561809421</v>
      </c>
      <c r="X167" s="22"/>
      <c r="Y167" s="7">
        <v>250</v>
      </c>
      <c r="Z167" s="20">
        <v>187</v>
      </c>
      <c r="AA167" s="4">
        <v>152</v>
      </c>
      <c r="AB167" s="4">
        <v>200</v>
      </c>
      <c r="AC167" s="14">
        <f t="shared" si="51"/>
        <v>95.95082643483033</v>
      </c>
      <c r="AD167" s="56">
        <v>255.94829328483814</v>
      </c>
      <c r="AE167" s="17">
        <f t="shared" si="61"/>
        <v>1.1636930739345777</v>
      </c>
    </row>
    <row r="168" spans="1:31" ht="15">
      <c r="A168" s="43" t="s">
        <v>605</v>
      </c>
      <c r="B168" s="31" t="s">
        <v>153</v>
      </c>
      <c r="C168" s="7">
        <v>572624</v>
      </c>
      <c r="D168" s="7">
        <v>1925</v>
      </c>
      <c r="E168" s="7">
        <v>20</v>
      </c>
      <c r="F168" s="8">
        <f t="shared" si="71"/>
        <v>99.155670995671</v>
      </c>
      <c r="G168" s="37">
        <v>389340</v>
      </c>
      <c r="H168" s="26">
        <v>1925</v>
      </c>
      <c r="I168" s="7">
        <v>15</v>
      </c>
      <c r="J168" s="8">
        <f t="shared" si="72"/>
        <v>50.56363636363636</v>
      </c>
      <c r="K168" s="7">
        <f>'[2]Лист1'!$O$406+'[2]Лист1'!$O$434</f>
        <v>49500</v>
      </c>
      <c r="L168" s="7">
        <v>846720</v>
      </c>
      <c r="M168" s="7">
        <v>20</v>
      </c>
      <c r="N168" s="8">
        <f>K168/L168*M168</f>
        <v>1.16921768707483</v>
      </c>
      <c r="O168" s="8">
        <f aca="true" t="shared" si="74" ref="O168:O187">F168+J168+N168</f>
        <v>150.8885250463822</v>
      </c>
      <c r="P168" s="8">
        <f aca="true" t="shared" si="75" ref="P168:P187">O168*0.302</f>
        <v>45.56833456400742</v>
      </c>
      <c r="Q168" s="59">
        <f aca="true" t="shared" si="76" ref="Q168:Q188">(O168)*102%</f>
        <v>153.90629554730984</v>
      </c>
      <c r="R168" s="78">
        <f>13.64+0.83*5+14*2+1.15*6+1.2+11+0.21*5+1.99</f>
        <v>67.92999999999999</v>
      </c>
      <c r="S168" s="76">
        <v>67.92999999999999</v>
      </c>
      <c r="T168" s="21">
        <f aca="true" t="shared" si="77" ref="T168:T231">S168*1.15</f>
        <v>78.11949999999999</v>
      </c>
      <c r="U168" s="9">
        <f t="shared" si="70"/>
        <v>429.6518728447743</v>
      </c>
      <c r="V168" s="8">
        <f t="shared" si="73"/>
        <v>107.41296821119357</v>
      </c>
      <c r="W168" s="52">
        <f aca="true" t="shared" si="78" ref="W168:W187">U168+V168</f>
        <v>537.0648410559679</v>
      </c>
      <c r="X168" s="22"/>
      <c r="Y168" s="7">
        <v>450</v>
      </c>
      <c r="Z168" s="20">
        <v>303</v>
      </c>
      <c r="AA168" s="4">
        <v>224</v>
      </c>
      <c r="AB168" s="4">
        <v>300</v>
      </c>
      <c r="AC168" s="14">
        <f t="shared" si="51"/>
        <v>139.76108975712853</v>
      </c>
      <c r="AD168" s="56">
        <v>453.86956394687695</v>
      </c>
      <c r="AE168" s="17">
        <f t="shared" si="61"/>
        <v>1.1833021725132213</v>
      </c>
    </row>
    <row r="169" spans="1:31" ht="15">
      <c r="A169" s="43" t="s">
        <v>606</v>
      </c>
      <c r="B169" s="31" t="s">
        <v>146</v>
      </c>
      <c r="C169" s="7">
        <v>572624</v>
      </c>
      <c r="D169" s="7">
        <v>1925</v>
      </c>
      <c r="E169" s="7">
        <v>17</v>
      </c>
      <c r="F169" s="8">
        <f t="shared" si="71"/>
        <v>84.28232034632036</v>
      </c>
      <c r="G169" s="37">
        <v>389340</v>
      </c>
      <c r="H169" s="26">
        <v>1925</v>
      </c>
      <c r="I169" s="7">
        <v>12</v>
      </c>
      <c r="J169" s="8">
        <f t="shared" si="72"/>
        <v>40.450909090909086</v>
      </c>
      <c r="K169" s="7">
        <f>57100+18872.52+52000</f>
        <v>127972.52</v>
      </c>
      <c r="L169" s="7">
        <v>846720</v>
      </c>
      <c r="M169" s="7">
        <v>15</v>
      </c>
      <c r="N169" s="8">
        <f t="shared" si="67"/>
        <v>2.267086876417234</v>
      </c>
      <c r="O169" s="8">
        <f t="shared" si="74"/>
        <v>127.00031631364669</v>
      </c>
      <c r="P169" s="8">
        <f t="shared" si="75"/>
        <v>38.3540955267213</v>
      </c>
      <c r="Q169" s="59">
        <f t="shared" si="76"/>
        <v>129.54032263991962</v>
      </c>
      <c r="R169" s="78">
        <f>11+1.99+13.64</f>
        <v>26.630000000000003</v>
      </c>
      <c r="S169" s="76">
        <v>26.630000000000003</v>
      </c>
      <c r="T169" s="21">
        <f t="shared" si="77"/>
        <v>30.6245</v>
      </c>
      <c r="U169" s="9">
        <f t="shared" si="70"/>
        <v>327.7863213567049</v>
      </c>
      <c r="V169" s="8">
        <f t="shared" si="73"/>
        <v>81.94658033917622</v>
      </c>
      <c r="W169" s="52">
        <f t="shared" si="78"/>
        <v>409.7329016958811</v>
      </c>
      <c r="X169" s="22"/>
      <c r="Y169" s="7">
        <v>350</v>
      </c>
      <c r="Z169" s="20">
        <v>200</v>
      </c>
      <c r="AA169" s="4">
        <v>128</v>
      </c>
      <c r="AB169" s="4">
        <v>180</v>
      </c>
      <c r="AC169" s="14">
        <f t="shared" si="51"/>
        <v>220.1038294499071</v>
      </c>
      <c r="AD169" s="56">
        <v>351.85511092964725</v>
      </c>
      <c r="AE169" s="17">
        <f t="shared" si="61"/>
        <v>1.1644932501145517</v>
      </c>
    </row>
    <row r="170" spans="1:31" ht="15">
      <c r="A170" s="43" t="s">
        <v>607</v>
      </c>
      <c r="B170" s="31" t="s">
        <v>154</v>
      </c>
      <c r="C170" s="7">
        <v>572624</v>
      </c>
      <c r="D170" s="7">
        <v>1925</v>
      </c>
      <c r="E170" s="7">
        <v>15</v>
      </c>
      <c r="F170" s="8">
        <f>C170/D170/60*E170</f>
        <v>74.36675324675325</v>
      </c>
      <c r="G170" s="37">
        <v>389340</v>
      </c>
      <c r="H170" s="26">
        <v>1925</v>
      </c>
      <c r="I170" s="7">
        <v>15</v>
      </c>
      <c r="J170" s="8">
        <f>G170/H170/60*I170</f>
        <v>50.56363636363636</v>
      </c>
      <c r="K170" s="7">
        <f>28134.74+28000+74500</f>
        <v>130634.74</v>
      </c>
      <c r="L170" s="7">
        <v>846720</v>
      </c>
      <c r="M170" s="7">
        <v>20</v>
      </c>
      <c r="N170" s="8">
        <f>K170/L170*M170</f>
        <v>3.0856656273620557</v>
      </c>
      <c r="O170" s="8">
        <f t="shared" si="74"/>
        <v>128.01605523775166</v>
      </c>
      <c r="P170" s="8">
        <f>O170*0.302</f>
        <v>38.660848681801</v>
      </c>
      <c r="Q170" s="59">
        <f t="shared" si="76"/>
        <v>130.5763763425067</v>
      </c>
      <c r="R170" s="78">
        <f>0.83*2+1.99+13.64</f>
        <v>17.29</v>
      </c>
      <c r="S170" s="76">
        <v>17.29</v>
      </c>
      <c r="T170" s="21">
        <f t="shared" si="77"/>
        <v>19.883499999999998</v>
      </c>
      <c r="U170" s="9">
        <f t="shared" si="70"/>
        <v>320.22244588942146</v>
      </c>
      <c r="V170" s="8">
        <f>U170*25%</f>
        <v>80.05561147235537</v>
      </c>
      <c r="W170" s="52">
        <f>U170+V170</f>
        <v>400.27805736177686</v>
      </c>
      <c r="X170" s="22"/>
      <c r="Y170" s="7">
        <v>350</v>
      </c>
      <c r="Z170" s="20">
        <v>251</v>
      </c>
      <c r="AA170" s="4">
        <v>166</v>
      </c>
      <c r="AB170" s="4">
        <v>250</v>
      </c>
      <c r="AC170" s="14">
        <f>(100*W170)/AA170-100</f>
        <v>141.1313598564921</v>
      </c>
      <c r="AD170" s="56">
        <v>343.5792591929456</v>
      </c>
      <c r="AE170" s="17">
        <f t="shared" si="61"/>
        <v>1.1650239257806614</v>
      </c>
    </row>
    <row r="171" spans="1:31" ht="15">
      <c r="A171" s="43" t="s">
        <v>608</v>
      </c>
      <c r="B171" s="31" t="s">
        <v>407</v>
      </c>
      <c r="C171" s="7">
        <v>572624</v>
      </c>
      <c r="D171" s="7">
        <v>1925</v>
      </c>
      <c r="E171" s="7">
        <v>24</v>
      </c>
      <c r="F171" s="8">
        <f t="shared" si="71"/>
        <v>118.98680519480521</v>
      </c>
      <c r="G171" s="37">
        <v>389340</v>
      </c>
      <c r="H171" s="26">
        <v>1925</v>
      </c>
      <c r="I171" s="7">
        <v>20</v>
      </c>
      <c r="J171" s="8">
        <f t="shared" si="72"/>
        <v>67.41818181818181</v>
      </c>
      <c r="K171" s="7">
        <v>89500</v>
      </c>
      <c r="L171" s="7">
        <v>846720</v>
      </c>
      <c r="M171" s="7">
        <v>30</v>
      </c>
      <c r="N171" s="8">
        <f t="shared" si="67"/>
        <v>3.1710600907029476</v>
      </c>
      <c r="O171" s="8">
        <f t="shared" si="74"/>
        <v>189.57604710368997</v>
      </c>
      <c r="P171" s="8">
        <f t="shared" si="75"/>
        <v>57.25196622531437</v>
      </c>
      <c r="Q171" s="59">
        <f t="shared" si="76"/>
        <v>193.3675680457638</v>
      </c>
      <c r="R171" s="78">
        <f>0.83*4+1.99+13.64</f>
        <v>18.95</v>
      </c>
      <c r="S171" s="76">
        <v>18.95</v>
      </c>
      <c r="T171" s="21">
        <f t="shared" si="77"/>
        <v>21.792499999999997</v>
      </c>
      <c r="U171" s="9">
        <f t="shared" si="70"/>
        <v>465.15914146547107</v>
      </c>
      <c r="V171" s="8">
        <f>U171*25%</f>
        <v>116.28978536636777</v>
      </c>
      <c r="W171" s="52">
        <f>U171+V171</f>
        <v>581.4489268318389</v>
      </c>
      <c r="X171" s="22"/>
      <c r="Y171" s="7">
        <v>500</v>
      </c>
      <c r="Z171" s="20"/>
      <c r="AA171" s="4">
        <v>166</v>
      </c>
      <c r="AB171" s="4">
        <v>250</v>
      </c>
      <c r="AC171" s="14">
        <f t="shared" si="51"/>
        <v>250.27043785050535</v>
      </c>
      <c r="AD171" s="56">
        <v>500.58562603963105</v>
      </c>
      <c r="AE171" s="17">
        <f t="shared" si="61"/>
        <v>1.1615374005681216</v>
      </c>
    </row>
    <row r="172" spans="1:31" ht="15">
      <c r="A172" s="43" t="s">
        <v>609</v>
      </c>
      <c r="B172" s="31" t="s">
        <v>408</v>
      </c>
      <c r="C172" s="7">
        <v>572624</v>
      </c>
      <c r="D172" s="7">
        <v>1925</v>
      </c>
      <c r="E172" s="7">
        <v>36</v>
      </c>
      <c r="F172" s="8">
        <f>C172/D172/60*E172</f>
        <v>178.4802077922078</v>
      </c>
      <c r="G172" s="37">
        <v>389340</v>
      </c>
      <c r="H172" s="26">
        <v>1925</v>
      </c>
      <c r="I172" s="7">
        <v>30</v>
      </c>
      <c r="J172" s="8">
        <f>G172/H172/60*I172</f>
        <v>101.12727272727273</v>
      </c>
      <c r="K172" s="7">
        <v>89500</v>
      </c>
      <c r="L172" s="7">
        <v>846720</v>
      </c>
      <c r="M172" s="7">
        <v>40</v>
      </c>
      <c r="N172" s="8">
        <f>K172/L172*M172</f>
        <v>4.228080120937264</v>
      </c>
      <c r="O172" s="8">
        <f t="shared" si="74"/>
        <v>283.8355606404178</v>
      </c>
      <c r="P172" s="8">
        <f>O172*0.302</f>
        <v>85.71833931340616</v>
      </c>
      <c r="Q172" s="59">
        <f t="shared" si="76"/>
        <v>289.51227185322614</v>
      </c>
      <c r="R172" s="78">
        <f>0.83*4+1.99+13.64</f>
        <v>18.95</v>
      </c>
      <c r="S172" s="76">
        <v>18.95</v>
      </c>
      <c r="T172" s="21">
        <f t="shared" si="77"/>
        <v>21.792499999999997</v>
      </c>
      <c r="U172" s="9">
        <f t="shared" si="70"/>
        <v>685.0867519279873</v>
      </c>
      <c r="V172" s="8">
        <f>U172*25%</f>
        <v>171.27168798199682</v>
      </c>
      <c r="W172" s="52">
        <f>U172+V172</f>
        <v>856.3584399099841</v>
      </c>
      <c r="X172" s="22"/>
      <c r="Y172" s="7">
        <v>800</v>
      </c>
      <c r="Z172" s="20"/>
      <c r="AA172" s="4">
        <v>166</v>
      </c>
      <c r="AB172" s="4">
        <v>250</v>
      </c>
      <c r="AC172" s="14">
        <f>(100*W172)/AA172-100</f>
        <v>415.87857825902665</v>
      </c>
      <c r="AD172" s="56">
        <v>736.8400512216724</v>
      </c>
      <c r="AE172" s="17">
        <f t="shared" si="61"/>
        <v>1.1622039796698775</v>
      </c>
    </row>
    <row r="173" spans="1:31" ht="15">
      <c r="A173" s="43" t="s">
        <v>610</v>
      </c>
      <c r="B173" s="31" t="s">
        <v>409</v>
      </c>
      <c r="C173" s="7">
        <v>572624</v>
      </c>
      <c r="D173" s="7">
        <v>1925</v>
      </c>
      <c r="E173" s="7">
        <v>25</v>
      </c>
      <c r="F173" s="8">
        <f>C173/D173/60*E173</f>
        <v>123.94458874458876</v>
      </c>
      <c r="G173" s="37">
        <v>389340</v>
      </c>
      <c r="H173" s="26">
        <v>1925</v>
      </c>
      <c r="I173" s="7">
        <v>23</v>
      </c>
      <c r="J173" s="8">
        <f>G173/H173/60*I173</f>
        <v>77.53090909090909</v>
      </c>
      <c r="K173" s="7">
        <f>'[3]Лист1'!$O$933</f>
        <v>23581.12</v>
      </c>
      <c r="L173" s="7">
        <v>846720</v>
      </c>
      <c r="M173" s="7">
        <v>25</v>
      </c>
      <c r="N173" s="8">
        <f>K173/L173*M173</f>
        <v>0.6962490551776266</v>
      </c>
      <c r="O173" s="8">
        <f>F173+J173+N173</f>
        <v>202.17174689067545</v>
      </c>
      <c r="P173" s="8">
        <f>O173*0.302</f>
        <v>61.055867560983984</v>
      </c>
      <c r="Q173" s="59">
        <f t="shared" si="76"/>
        <v>206.21518182848897</v>
      </c>
      <c r="R173" s="78">
        <f>0.83*2+1.99+13.64+1.15*2+12*4</f>
        <v>67.59</v>
      </c>
      <c r="S173" s="76">
        <v>67.59</v>
      </c>
      <c r="T173" s="21">
        <f t="shared" si="77"/>
        <v>77.7285</v>
      </c>
      <c r="U173" s="9">
        <f t="shared" si="70"/>
        <v>547.867545335326</v>
      </c>
      <c r="V173" s="8">
        <f>U173*25%</f>
        <v>136.9668863338315</v>
      </c>
      <c r="W173" s="52">
        <f>U173+V173</f>
        <v>684.8344316691575</v>
      </c>
      <c r="X173" s="22"/>
      <c r="Y173" s="7">
        <v>500</v>
      </c>
      <c r="Z173" s="20"/>
      <c r="AA173" s="4">
        <v>166</v>
      </c>
      <c r="AB173" s="4">
        <v>250</v>
      </c>
      <c r="AC173" s="14">
        <f>(100*W173)/AA173-100</f>
        <v>312.5508624512997</v>
      </c>
      <c r="AD173" s="56">
        <v>591.1639758120147</v>
      </c>
      <c r="AE173" s="17">
        <f t="shared" si="61"/>
        <v>1.1584508862003617</v>
      </c>
    </row>
    <row r="174" spans="1:31" ht="15">
      <c r="A174" s="43" t="s">
        <v>611</v>
      </c>
      <c r="B174" s="31" t="s">
        <v>410</v>
      </c>
      <c r="C174" s="7">
        <v>572624</v>
      </c>
      <c r="D174" s="7">
        <v>1925</v>
      </c>
      <c r="E174" s="7">
        <v>34</v>
      </c>
      <c r="F174" s="8">
        <f>C174/D174/60*E174</f>
        <v>168.56464069264072</v>
      </c>
      <c r="G174" s="37">
        <v>389340</v>
      </c>
      <c r="H174" s="26">
        <v>1925</v>
      </c>
      <c r="I174" s="7">
        <v>30</v>
      </c>
      <c r="J174" s="8">
        <f>G174/H174/60*I174</f>
        <v>101.12727272727273</v>
      </c>
      <c r="K174" s="7">
        <f>'[3]Лист1'!$O$933</f>
        <v>23581.12</v>
      </c>
      <c r="L174" s="7">
        <v>846720</v>
      </c>
      <c r="M174" s="7">
        <v>35</v>
      </c>
      <c r="N174" s="8">
        <f>K174/L174*M174</f>
        <v>0.9747486772486773</v>
      </c>
      <c r="O174" s="8">
        <f>F174+J174+N174</f>
        <v>270.66666209716215</v>
      </c>
      <c r="P174" s="8">
        <f>O174*0.302</f>
        <v>81.74133195334296</v>
      </c>
      <c r="Q174" s="59">
        <f t="shared" si="76"/>
        <v>276.0799953391054</v>
      </c>
      <c r="R174" s="78">
        <f>0.83*2+1.99+13.64+1.15*2+12*8</f>
        <v>115.59</v>
      </c>
      <c r="S174" s="76">
        <v>115.59</v>
      </c>
      <c r="T174" s="21">
        <f t="shared" si="77"/>
        <v>132.92849999999999</v>
      </c>
      <c r="U174" s="9">
        <f t="shared" si="70"/>
        <v>762.3912380668592</v>
      </c>
      <c r="V174" s="8">
        <f>U174*25%</f>
        <v>190.5978095167148</v>
      </c>
      <c r="W174" s="52">
        <f>U174+V174</f>
        <v>952.9890475835739</v>
      </c>
      <c r="X174" s="22"/>
      <c r="Y174" s="7">
        <v>800</v>
      </c>
      <c r="Z174" s="20"/>
      <c r="AA174" s="4">
        <v>166</v>
      </c>
      <c r="AB174" s="4">
        <v>250</v>
      </c>
      <c r="AC174" s="14">
        <f>(100*W174)/AA174-100</f>
        <v>474.08978770094814</v>
      </c>
      <c r="AD174" s="56">
        <v>806.8972118303271</v>
      </c>
      <c r="AE174" s="17">
        <f t="shared" si="61"/>
        <v>1.1810538363639391</v>
      </c>
    </row>
    <row r="175" spans="1:31" ht="15">
      <c r="A175" s="43" t="s">
        <v>612</v>
      </c>
      <c r="B175" s="31" t="s">
        <v>155</v>
      </c>
      <c r="C175" s="7">
        <v>572624</v>
      </c>
      <c r="D175" s="7">
        <v>1925</v>
      </c>
      <c r="E175" s="7">
        <v>12</v>
      </c>
      <c r="F175" s="8">
        <f t="shared" si="71"/>
        <v>59.49340259740261</v>
      </c>
      <c r="G175" s="37">
        <v>389340</v>
      </c>
      <c r="H175" s="26">
        <v>1925</v>
      </c>
      <c r="I175" s="7">
        <v>5</v>
      </c>
      <c r="J175" s="8">
        <f t="shared" si="72"/>
        <v>16.854545454545452</v>
      </c>
      <c r="K175" s="7">
        <v>264924.16</v>
      </c>
      <c r="L175" s="7">
        <v>846720</v>
      </c>
      <c r="M175" s="7">
        <v>8</v>
      </c>
      <c r="N175" s="8">
        <f t="shared" si="67"/>
        <v>2.5030627362055933</v>
      </c>
      <c r="O175" s="8">
        <f t="shared" si="74"/>
        <v>78.85101078815366</v>
      </c>
      <c r="P175" s="8">
        <f t="shared" si="75"/>
        <v>23.813005258022404</v>
      </c>
      <c r="Q175" s="59">
        <f t="shared" si="76"/>
        <v>80.42803100391673</v>
      </c>
      <c r="R175" s="78">
        <f>0.83*2+1.99</f>
        <v>3.65</v>
      </c>
      <c r="S175" s="76">
        <v>3.65</v>
      </c>
      <c r="T175" s="21">
        <f t="shared" si="77"/>
        <v>4.1975</v>
      </c>
      <c r="U175" s="9">
        <f t="shared" si="70"/>
        <v>189.79260978629839</v>
      </c>
      <c r="V175" s="8">
        <f t="shared" si="73"/>
        <v>47.448152446574596</v>
      </c>
      <c r="W175" s="52">
        <f t="shared" si="78"/>
        <v>237.24076223287298</v>
      </c>
      <c r="X175" s="22"/>
      <c r="Y175" s="7">
        <v>200</v>
      </c>
      <c r="Z175" s="20">
        <v>147</v>
      </c>
      <c r="AA175" s="4">
        <v>189</v>
      </c>
      <c r="AB175" s="4">
        <v>150</v>
      </c>
      <c r="AC175" s="14">
        <f t="shared" si="51"/>
        <v>25.524212821625923</v>
      </c>
      <c r="AD175" s="56">
        <v>200.44858761728858</v>
      </c>
      <c r="AE175" s="17">
        <f t="shared" si="61"/>
        <v>1.183549183623238</v>
      </c>
    </row>
    <row r="176" spans="1:31" ht="15">
      <c r="A176" s="43" t="s">
        <v>613</v>
      </c>
      <c r="B176" s="31" t="s">
        <v>156</v>
      </c>
      <c r="C176" s="7">
        <v>572624</v>
      </c>
      <c r="D176" s="7">
        <v>1925</v>
      </c>
      <c r="E176" s="7">
        <v>19</v>
      </c>
      <c r="F176" s="8">
        <f t="shared" si="71"/>
        <v>94.19788744588746</v>
      </c>
      <c r="G176" s="37">
        <v>389340</v>
      </c>
      <c r="H176" s="26">
        <v>1925</v>
      </c>
      <c r="I176" s="7">
        <v>14</v>
      </c>
      <c r="J176" s="8">
        <f t="shared" si="72"/>
        <v>47.19272727272727</v>
      </c>
      <c r="K176" s="7">
        <f>'[2]Лист1'!$O$409+398000</f>
        <v>441000</v>
      </c>
      <c r="L176" s="7">
        <v>846720</v>
      </c>
      <c r="M176" s="7">
        <v>15</v>
      </c>
      <c r="N176" s="8">
        <f t="shared" si="67"/>
        <v>7.812500000000001</v>
      </c>
      <c r="O176" s="8">
        <f t="shared" si="74"/>
        <v>149.20311471861473</v>
      </c>
      <c r="P176" s="8">
        <f t="shared" si="75"/>
        <v>45.05934064502165</v>
      </c>
      <c r="Q176" s="59">
        <f t="shared" si="76"/>
        <v>152.18717701298704</v>
      </c>
      <c r="R176" s="78">
        <f>0.83*2+1.99+1.15*5</f>
        <v>9.4</v>
      </c>
      <c r="S176" s="76">
        <v>9.4</v>
      </c>
      <c r="T176" s="21">
        <f t="shared" si="77"/>
        <v>10.809999999999999</v>
      </c>
      <c r="U176" s="9">
        <f t="shared" si="70"/>
        <v>365.0721323766234</v>
      </c>
      <c r="V176" s="8">
        <f t="shared" si="73"/>
        <v>91.26803309415585</v>
      </c>
      <c r="W176" s="52">
        <f t="shared" si="78"/>
        <v>456.34016547077925</v>
      </c>
      <c r="X176" s="22"/>
      <c r="Y176" s="7">
        <v>400</v>
      </c>
      <c r="Z176" s="20">
        <v>257</v>
      </c>
      <c r="AA176" s="4">
        <v>142</v>
      </c>
      <c r="AB176" s="4">
        <v>250</v>
      </c>
      <c r="AC176" s="14">
        <f t="shared" si="51"/>
        <v>221.36631371181636</v>
      </c>
      <c r="AD176" s="56">
        <v>393.3999415227272</v>
      </c>
      <c r="AE176" s="17">
        <f t="shared" si="61"/>
        <v>1.159990425276705</v>
      </c>
    </row>
    <row r="177" spans="1:31" ht="15">
      <c r="A177" s="43" t="s">
        <v>614</v>
      </c>
      <c r="B177" s="31" t="s">
        <v>386</v>
      </c>
      <c r="C177" s="7">
        <v>572624</v>
      </c>
      <c r="D177" s="7">
        <v>1925</v>
      </c>
      <c r="E177" s="7">
        <v>20</v>
      </c>
      <c r="F177" s="8">
        <f t="shared" si="71"/>
        <v>99.155670995671</v>
      </c>
      <c r="G177" s="37">
        <v>389340</v>
      </c>
      <c r="H177" s="26">
        <v>1925</v>
      </c>
      <c r="I177" s="7">
        <v>10</v>
      </c>
      <c r="J177" s="8">
        <f t="shared" si="72"/>
        <v>33.709090909090904</v>
      </c>
      <c r="K177" s="7">
        <v>4017.9</v>
      </c>
      <c r="L177" s="7">
        <v>846720</v>
      </c>
      <c r="M177" s="7">
        <v>15</v>
      </c>
      <c r="N177" s="8">
        <f t="shared" si="67"/>
        <v>0.07117878401360545</v>
      </c>
      <c r="O177" s="8">
        <f t="shared" si="74"/>
        <v>132.9359406887755</v>
      </c>
      <c r="P177" s="8">
        <f t="shared" si="75"/>
        <v>40.1466540880102</v>
      </c>
      <c r="Q177" s="59">
        <f t="shared" si="76"/>
        <v>135.59465950255102</v>
      </c>
      <c r="R177" s="78">
        <f>0.83*2+1.99+13.64</f>
        <v>17.29</v>
      </c>
      <c r="S177" s="76">
        <v>17.29</v>
      </c>
      <c r="T177" s="21">
        <f t="shared" si="77"/>
        <v>19.883499999999998</v>
      </c>
      <c r="U177" s="9">
        <f t="shared" si="70"/>
        <v>328.6319330633503</v>
      </c>
      <c r="V177" s="8">
        <f t="shared" si="73"/>
        <v>82.15798326583757</v>
      </c>
      <c r="W177" s="52">
        <f t="shared" si="78"/>
        <v>410.78991632918786</v>
      </c>
      <c r="X177" s="22"/>
      <c r="Y177" s="7">
        <v>350</v>
      </c>
      <c r="Z177" s="20">
        <v>359</v>
      </c>
      <c r="AA177" s="4">
        <v>166</v>
      </c>
      <c r="AB177" s="4">
        <v>350</v>
      </c>
      <c r="AC177" s="14">
        <f t="shared" si="51"/>
        <v>147.46380501758304</v>
      </c>
      <c r="AD177" s="56">
        <v>355.0946041343827</v>
      </c>
      <c r="AE177" s="17">
        <f t="shared" si="61"/>
        <v>1.1568464052856398</v>
      </c>
    </row>
    <row r="178" spans="1:31" ht="15">
      <c r="A178" s="43" t="s">
        <v>615</v>
      </c>
      <c r="B178" s="31" t="s">
        <v>101</v>
      </c>
      <c r="C178" s="7">
        <v>572624</v>
      </c>
      <c r="D178" s="7">
        <v>1925</v>
      </c>
      <c r="E178" s="7">
        <v>10</v>
      </c>
      <c r="F178" s="8">
        <f t="shared" si="71"/>
        <v>49.5778354978355</v>
      </c>
      <c r="G178" s="37">
        <v>389340</v>
      </c>
      <c r="H178" s="26">
        <v>1925</v>
      </c>
      <c r="I178" s="7">
        <v>9</v>
      </c>
      <c r="J178" s="8">
        <f t="shared" si="72"/>
        <v>30.338181818181816</v>
      </c>
      <c r="K178" s="7">
        <v>4017.9</v>
      </c>
      <c r="L178" s="7">
        <v>846720</v>
      </c>
      <c r="M178" s="7">
        <v>10</v>
      </c>
      <c r="N178" s="8">
        <f>K178/L178*M178</f>
        <v>0.04745252267573696</v>
      </c>
      <c r="O178" s="8">
        <f t="shared" si="74"/>
        <v>79.96346983869306</v>
      </c>
      <c r="P178" s="8">
        <f t="shared" si="75"/>
        <v>24.148967891285302</v>
      </c>
      <c r="Q178" s="59">
        <f t="shared" si="76"/>
        <v>81.56273923546692</v>
      </c>
      <c r="R178" s="78">
        <f>0.83*2+1.99+13.64+1.15+12*3</f>
        <v>54.44</v>
      </c>
      <c r="S178" s="76">
        <v>54.44</v>
      </c>
      <c r="T178" s="21">
        <f t="shared" si="77"/>
        <v>62.605999999999995</v>
      </c>
      <c r="U178" s="9">
        <f t="shared" si="70"/>
        <v>248.328629488121</v>
      </c>
      <c r="V178" s="8">
        <f t="shared" si="73"/>
        <v>62.08215737203025</v>
      </c>
      <c r="W178" s="52">
        <f t="shared" si="78"/>
        <v>310.41078686015123</v>
      </c>
      <c r="X178" s="22"/>
      <c r="Y178" s="7">
        <v>250</v>
      </c>
      <c r="Z178" s="20">
        <v>257</v>
      </c>
      <c r="AA178" s="4">
        <v>166</v>
      </c>
      <c r="AB178" s="4">
        <v>250</v>
      </c>
      <c r="AC178" s="14">
        <f t="shared" si="51"/>
        <v>86.99444991575376</v>
      </c>
      <c r="AD178" s="56">
        <v>262.87881553547595</v>
      </c>
      <c r="AE178" s="17">
        <f t="shared" si="61"/>
        <v>1.1808132436531797</v>
      </c>
    </row>
    <row r="179" spans="1:31" ht="15">
      <c r="A179" s="43" t="s">
        <v>616</v>
      </c>
      <c r="B179" s="31" t="s">
        <v>157</v>
      </c>
      <c r="C179" s="7">
        <v>572624</v>
      </c>
      <c r="D179" s="7">
        <v>1925</v>
      </c>
      <c r="E179" s="7">
        <v>20</v>
      </c>
      <c r="F179" s="8">
        <f t="shared" si="71"/>
        <v>99.155670995671</v>
      </c>
      <c r="G179" s="37">
        <v>389340</v>
      </c>
      <c r="H179" s="26">
        <v>1925</v>
      </c>
      <c r="I179" s="7">
        <v>15</v>
      </c>
      <c r="J179" s="8">
        <f t="shared" si="72"/>
        <v>50.56363636363636</v>
      </c>
      <c r="K179" s="7">
        <f>32804+109000</f>
        <v>141804</v>
      </c>
      <c r="L179" s="7">
        <v>846720</v>
      </c>
      <c r="M179" s="7">
        <v>18</v>
      </c>
      <c r="N179" s="8">
        <f t="shared" si="67"/>
        <v>3.0145408163265306</v>
      </c>
      <c r="O179" s="8">
        <f t="shared" si="74"/>
        <v>152.7338481756339</v>
      </c>
      <c r="P179" s="8">
        <f t="shared" si="75"/>
        <v>46.12562214904144</v>
      </c>
      <c r="Q179" s="59">
        <f t="shared" si="76"/>
        <v>155.7885251391466</v>
      </c>
      <c r="R179" s="78">
        <f>0.83*2+1.99+13.64</f>
        <v>17.29</v>
      </c>
      <c r="S179" s="76">
        <v>17.29</v>
      </c>
      <c r="T179" s="21">
        <f t="shared" si="77"/>
        <v>19.883499999999998</v>
      </c>
      <c r="U179" s="9">
        <f t="shared" si="70"/>
        <v>377.54603628014854</v>
      </c>
      <c r="V179" s="8">
        <f t="shared" si="73"/>
        <v>94.38650907003714</v>
      </c>
      <c r="W179" s="52">
        <f t="shared" si="78"/>
        <v>471.9325453501857</v>
      </c>
      <c r="X179" s="22"/>
      <c r="Y179" s="7">
        <v>400</v>
      </c>
      <c r="Z179" s="20">
        <v>303</v>
      </c>
      <c r="AA179" s="4">
        <v>224</v>
      </c>
      <c r="AB179" s="4">
        <v>300</v>
      </c>
      <c r="AC179" s="14">
        <f aca="true" t="shared" si="79" ref="AC179:AC188">(100*W179)/AA179-100</f>
        <v>110.6841720313329</v>
      </c>
      <c r="AD179" s="56">
        <v>405.6789443553804</v>
      </c>
      <c r="AE179" s="17">
        <f t="shared" si="61"/>
        <v>1.1633153554471052</v>
      </c>
    </row>
    <row r="180" spans="1:31" ht="15">
      <c r="A180" s="43" t="s">
        <v>617</v>
      </c>
      <c r="B180" s="31" t="s">
        <v>158</v>
      </c>
      <c r="C180" s="7">
        <v>572624</v>
      </c>
      <c r="D180" s="7">
        <v>1925</v>
      </c>
      <c r="E180" s="7">
        <v>25</v>
      </c>
      <c r="F180" s="8">
        <f t="shared" si="71"/>
        <v>123.94458874458876</v>
      </c>
      <c r="G180" s="37">
        <v>389340</v>
      </c>
      <c r="H180" s="26">
        <v>1925</v>
      </c>
      <c r="I180" s="7">
        <v>15</v>
      </c>
      <c r="J180" s="8">
        <f t="shared" si="72"/>
        <v>50.56363636363636</v>
      </c>
      <c r="K180" s="7">
        <f>'[3]Лист1'!$O$122</f>
        <v>547046.82</v>
      </c>
      <c r="L180" s="7">
        <v>846720</v>
      </c>
      <c r="M180" s="7">
        <v>25</v>
      </c>
      <c r="N180" s="8">
        <f t="shared" si="67"/>
        <v>16.15193983843537</v>
      </c>
      <c r="O180" s="8">
        <f t="shared" si="74"/>
        <v>190.6601649466605</v>
      </c>
      <c r="P180" s="8">
        <f t="shared" si="75"/>
        <v>57.57936981389147</v>
      </c>
      <c r="Q180" s="59">
        <f t="shared" si="76"/>
        <v>194.47336824559372</v>
      </c>
      <c r="R180" s="78">
        <f>0.83+1.99*2</f>
        <v>4.81</v>
      </c>
      <c r="S180" s="76">
        <v>4.81</v>
      </c>
      <c r="T180" s="21">
        <f t="shared" si="77"/>
        <v>5.531499999999999</v>
      </c>
      <c r="U180" s="9">
        <f t="shared" si="70"/>
        <v>464.39634284458106</v>
      </c>
      <c r="V180" s="8">
        <f t="shared" si="73"/>
        <v>116.09908571114526</v>
      </c>
      <c r="W180" s="52">
        <f t="shared" si="78"/>
        <v>580.4954285557263</v>
      </c>
      <c r="X180" s="22"/>
      <c r="Y180" s="7">
        <v>500</v>
      </c>
      <c r="Z180" s="20">
        <v>532</v>
      </c>
      <c r="AA180" s="4">
        <v>532</v>
      </c>
      <c r="AB180" s="4">
        <v>500</v>
      </c>
      <c r="AC180" s="14">
        <f t="shared" si="79"/>
        <v>9.115682059347051</v>
      </c>
      <c r="AD180" s="56">
        <v>499.5803486206613</v>
      </c>
      <c r="AE180" s="17">
        <f t="shared" si="61"/>
        <v>1.1619660984633826</v>
      </c>
    </row>
    <row r="181" spans="1:31" ht="30">
      <c r="A181" s="43" t="s">
        <v>618</v>
      </c>
      <c r="B181" s="31" t="s">
        <v>159</v>
      </c>
      <c r="C181" s="7">
        <v>572624</v>
      </c>
      <c r="D181" s="7">
        <v>1925</v>
      </c>
      <c r="E181" s="7">
        <v>16</v>
      </c>
      <c r="F181" s="8">
        <f t="shared" si="71"/>
        <v>79.3245367965368</v>
      </c>
      <c r="G181" s="37">
        <v>389340</v>
      </c>
      <c r="H181" s="26">
        <v>1925</v>
      </c>
      <c r="I181" s="7">
        <v>4</v>
      </c>
      <c r="J181" s="8">
        <f t="shared" si="72"/>
        <v>13.483636363636363</v>
      </c>
      <c r="K181" s="7">
        <v>22535.64</v>
      </c>
      <c r="L181" s="7">
        <v>846720</v>
      </c>
      <c r="M181" s="7">
        <v>13</v>
      </c>
      <c r="N181" s="8">
        <f t="shared" si="67"/>
        <v>0.3459978741496599</v>
      </c>
      <c r="O181" s="8">
        <f t="shared" si="74"/>
        <v>93.15417103432283</v>
      </c>
      <c r="P181" s="8">
        <f t="shared" si="75"/>
        <v>28.132559652365494</v>
      </c>
      <c r="Q181" s="59">
        <f t="shared" si="76"/>
        <v>95.0172544550093</v>
      </c>
      <c r="R181" s="78">
        <f>0.83*2+1.99+13.64</f>
        <v>17.29</v>
      </c>
      <c r="S181" s="76">
        <v>17.29</v>
      </c>
      <c r="T181" s="21">
        <f t="shared" si="77"/>
        <v>19.883499999999998</v>
      </c>
      <c r="U181" s="9">
        <f t="shared" si="70"/>
        <v>236.53348301584728</v>
      </c>
      <c r="V181" s="8">
        <f t="shared" si="73"/>
        <v>59.13337075396182</v>
      </c>
      <c r="W181" s="52">
        <f t="shared" si="78"/>
        <v>295.6668537698091</v>
      </c>
      <c r="X181" s="22"/>
      <c r="Y181" s="7">
        <v>250</v>
      </c>
      <c r="Z181" s="20">
        <v>209</v>
      </c>
      <c r="AA181" s="4">
        <v>152</v>
      </c>
      <c r="AB181" s="4">
        <v>200</v>
      </c>
      <c r="AC181" s="14">
        <f t="shared" si="79"/>
        <v>94.51766695382176</v>
      </c>
      <c r="AD181" s="56">
        <v>254.91440567889995</v>
      </c>
      <c r="AE181" s="17">
        <f t="shared" si="61"/>
        <v>1.159867183584134</v>
      </c>
    </row>
    <row r="182" spans="1:31" ht="15">
      <c r="A182" s="43" t="s">
        <v>619</v>
      </c>
      <c r="B182" s="31" t="s">
        <v>160</v>
      </c>
      <c r="C182" s="7">
        <v>572624</v>
      </c>
      <c r="D182" s="7">
        <v>1925</v>
      </c>
      <c r="E182" s="7">
        <v>11</v>
      </c>
      <c r="F182" s="8">
        <f t="shared" si="71"/>
        <v>54.53561904761905</v>
      </c>
      <c r="G182" s="37">
        <v>389340</v>
      </c>
      <c r="H182" s="26">
        <v>1925</v>
      </c>
      <c r="I182" s="7">
        <v>10</v>
      </c>
      <c r="J182" s="8">
        <f t="shared" si="72"/>
        <v>33.709090909090904</v>
      </c>
      <c r="K182" s="7">
        <v>23448.96</v>
      </c>
      <c r="L182" s="7">
        <v>846720</v>
      </c>
      <c r="M182" s="7">
        <v>10</v>
      </c>
      <c r="N182" s="8">
        <f t="shared" si="67"/>
        <v>0.27693877551020407</v>
      </c>
      <c r="O182" s="8">
        <f t="shared" si="74"/>
        <v>88.52164873222016</v>
      </c>
      <c r="P182" s="8">
        <f t="shared" si="75"/>
        <v>26.733537917130487</v>
      </c>
      <c r="Q182" s="59">
        <f t="shared" si="76"/>
        <v>90.29208170686456</v>
      </c>
      <c r="R182" s="78">
        <f>11+13.64</f>
        <v>24.64</v>
      </c>
      <c r="S182" s="76">
        <v>24.64</v>
      </c>
      <c r="T182" s="21">
        <f t="shared" si="77"/>
        <v>28.336</v>
      </c>
      <c r="U182" s="9">
        <f t="shared" si="70"/>
        <v>234.16020713172543</v>
      </c>
      <c r="V182" s="8">
        <f t="shared" si="73"/>
        <v>58.54005178293136</v>
      </c>
      <c r="W182" s="52">
        <f t="shared" si="78"/>
        <v>292.7002589146568</v>
      </c>
      <c r="X182" s="22"/>
      <c r="Y182" s="7">
        <v>250</v>
      </c>
      <c r="Z182" s="20">
        <v>252</v>
      </c>
      <c r="AA182" s="4">
        <v>209</v>
      </c>
      <c r="AB182" s="4">
        <v>250</v>
      </c>
      <c r="AC182" s="14">
        <f t="shared" si="79"/>
        <v>40.04797077256305</v>
      </c>
      <c r="AD182" s="56">
        <v>248.92178554322817</v>
      </c>
      <c r="AE182" s="17">
        <f t="shared" si="61"/>
        <v>1.17587240616923</v>
      </c>
    </row>
    <row r="183" spans="1:31" ht="15">
      <c r="A183" s="43" t="s">
        <v>620</v>
      </c>
      <c r="B183" s="31" t="s">
        <v>161</v>
      </c>
      <c r="C183" s="7">
        <v>572624</v>
      </c>
      <c r="D183" s="7">
        <v>1925</v>
      </c>
      <c r="E183" s="7">
        <v>15</v>
      </c>
      <c r="F183" s="8">
        <f t="shared" si="71"/>
        <v>74.36675324675325</v>
      </c>
      <c r="G183" s="37">
        <v>389340</v>
      </c>
      <c r="H183" s="26">
        <v>1925</v>
      </c>
      <c r="I183" s="7">
        <v>11</v>
      </c>
      <c r="J183" s="8">
        <f t="shared" si="72"/>
        <v>37.08</v>
      </c>
      <c r="K183" s="7">
        <v>435000</v>
      </c>
      <c r="L183" s="7">
        <v>846720</v>
      </c>
      <c r="M183" s="7">
        <v>15</v>
      </c>
      <c r="N183" s="8">
        <f t="shared" si="67"/>
        <v>7.706207482993197</v>
      </c>
      <c r="O183" s="8">
        <f t="shared" si="74"/>
        <v>119.15296072974644</v>
      </c>
      <c r="P183" s="8">
        <f t="shared" si="75"/>
        <v>35.98419414038342</v>
      </c>
      <c r="Q183" s="59">
        <f t="shared" si="76"/>
        <v>121.53601994434138</v>
      </c>
      <c r="R183" s="78">
        <f>1.99</f>
        <v>1.99</v>
      </c>
      <c r="S183" s="76">
        <v>1.99</v>
      </c>
      <c r="T183" s="21">
        <f t="shared" si="77"/>
        <v>2.2885</v>
      </c>
      <c r="U183" s="9">
        <f t="shared" si="70"/>
        <v>286.6678822974644</v>
      </c>
      <c r="V183" s="8">
        <f t="shared" si="73"/>
        <v>71.6669705743661</v>
      </c>
      <c r="W183" s="52">
        <f t="shared" si="78"/>
        <v>358.33485287183055</v>
      </c>
      <c r="X183" s="22"/>
      <c r="Y183" s="7">
        <v>300</v>
      </c>
      <c r="Z183" s="20">
        <v>252</v>
      </c>
      <c r="AA183" s="4">
        <v>118</v>
      </c>
      <c r="AB183" s="4">
        <v>250</v>
      </c>
      <c r="AC183" s="14">
        <f t="shared" si="79"/>
        <v>203.67360412866992</v>
      </c>
      <c r="AD183" s="56">
        <v>306.4076786770254</v>
      </c>
      <c r="AE183" s="17">
        <f t="shared" si="61"/>
        <v>1.1694708644999068</v>
      </c>
    </row>
    <row r="184" spans="1:31" ht="15">
      <c r="A184" s="43" t="s">
        <v>621</v>
      </c>
      <c r="B184" s="31" t="s">
        <v>354</v>
      </c>
      <c r="C184" s="7">
        <v>572624</v>
      </c>
      <c r="D184" s="7">
        <v>1925</v>
      </c>
      <c r="E184" s="7">
        <v>15</v>
      </c>
      <c r="F184" s="8">
        <f t="shared" si="71"/>
        <v>74.36675324675325</v>
      </c>
      <c r="G184" s="37">
        <v>389340</v>
      </c>
      <c r="H184" s="26">
        <v>1925</v>
      </c>
      <c r="I184" s="7">
        <v>6</v>
      </c>
      <c r="J184" s="8">
        <f t="shared" si="72"/>
        <v>20.225454545454543</v>
      </c>
      <c r="K184" s="7">
        <f>54870+99000</f>
        <v>153870</v>
      </c>
      <c r="L184" s="7">
        <v>846720</v>
      </c>
      <c r="M184" s="7">
        <v>10</v>
      </c>
      <c r="N184" s="8">
        <f t="shared" si="67"/>
        <v>1.8172477324263039</v>
      </c>
      <c r="O184" s="8">
        <f t="shared" si="74"/>
        <v>96.4094555246341</v>
      </c>
      <c r="P184" s="8">
        <f t="shared" si="75"/>
        <v>29.115655568439497</v>
      </c>
      <c r="Q184" s="59">
        <f t="shared" si="76"/>
        <v>98.33764463512678</v>
      </c>
      <c r="R184" s="78">
        <f>1.99</f>
        <v>1.99</v>
      </c>
      <c r="S184" s="76">
        <v>1.99</v>
      </c>
      <c r="T184" s="21">
        <f t="shared" si="77"/>
        <v>2.2885</v>
      </c>
      <c r="U184" s="9">
        <f t="shared" si="70"/>
        <v>227.96850346062666</v>
      </c>
      <c r="V184" s="8">
        <f t="shared" si="73"/>
        <v>56.992125865156666</v>
      </c>
      <c r="W184" s="52">
        <f t="shared" si="78"/>
        <v>284.9606293257833</v>
      </c>
      <c r="X184" s="22"/>
      <c r="Y184" s="7">
        <v>250</v>
      </c>
      <c r="Z184" s="20">
        <v>251</v>
      </c>
      <c r="AA184" s="4">
        <v>200</v>
      </c>
      <c r="AB184" s="4">
        <v>250</v>
      </c>
      <c r="AC184" s="14">
        <f t="shared" si="79"/>
        <v>42.48031466289166</v>
      </c>
      <c r="AD184" s="56">
        <v>241.89877071539377</v>
      </c>
      <c r="AE184" s="17">
        <f t="shared" si="61"/>
        <v>1.1780160291143191</v>
      </c>
    </row>
    <row r="185" spans="1:31" ht="15">
      <c r="A185" s="43" t="s">
        <v>622</v>
      </c>
      <c r="B185" s="31" t="s">
        <v>355</v>
      </c>
      <c r="C185" s="7">
        <v>572624</v>
      </c>
      <c r="D185" s="7">
        <v>1925</v>
      </c>
      <c r="E185" s="7">
        <v>18</v>
      </c>
      <c r="F185" s="8">
        <f t="shared" si="71"/>
        <v>89.2401038961039</v>
      </c>
      <c r="G185" s="37">
        <v>389340</v>
      </c>
      <c r="H185" s="26">
        <v>1925</v>
      </c>
      <c r="I185" s="7">
        <v>16</v>
      </c>
      <c r="J185" s="8">
        <f t="shared" si="72"/>
        <v>53.93454545454545</v>
      </c>
      <c r="K185" s="7">
        <v>166880.32</v>
      </c>
      <c r="L185" s="7">
        <v>846720</v>
      </c>
      <c r="M185" s="7">
        <v>18</v>
      </c>
      <c r="N185" s="8">
        <f t="shared" si="67"/>
        <v>3.547625850340136</v>
      </c>
      <c r="O185" s="8">
        <f t="shared" si="74"/>
        <v>146.7222752009895</v>
      </c>
      <c r="P185" s="8">
        <f t="shared" si="75"/>
        <v>44.31012711069882</v>
      </c>
      <c r="Q185" s="59">
        <f t="shared" si="76"/>
        <v>149.6567207050093</v>
      </c>
      <c r="R185" s="78">
        <f>0.83*2+1.99+13.64+12</f>
        <v>29.29</v>
      </c>
      <c r="S185" s="76">
        <v>29.29</v>
      </c>
      <c r="T185" s="21">
        <f t="shared" si="77"/>
        <v>33.683499999999995</v>
      </c>
      <c r="U185" s="9">
        <f t="shared" si="70"/>
        <v>377.9202488670377</v>
      </c>
      <c r="V185" s="8">
        <f t="shared" si="73"/>
        <v>94.48006221675942</v>
      </c>
      <c r="W185" s="52">
        <f t="shared" si="78"/>
        <v>472.4003110837971</v>
      </c>
      <c r="X185" s="22"/>
      <c r="Y185" s="7">
        <v>400</v>
      </c>
      <c r="Z185" s="20">
        <v>248</v>
      </c>
      <c r="AA185" s="4">
        <v>243</v>
      </c>
      <c r="AB185" s="4">
        <v>250</v>
      </c>
      <c r="AC185" s="14">
        <f t="shared" si="79"/>
        <v>94.40342019909343</v>
      </c>
      <c r="AD185" s="56">
        <v>400.5525516162647</v>
      </c>
      <c r="AE185" s="17">
        <f t="shared" si="61"/>
        <v>1.1793716184745806</v>
      </c>
    </row>
    <row r="186" spans="1:31" ht="15">
      <c r="A186" s="43" t="s">
        <v>623</v>
      </c>
      <c r="B186" s="31" t="s">
        <v>162</v>
      </c>
      <c r="C186" s="7">
        <v>572624</v>
      </c>
      <c r="D186" s="7">
        <v>1925</v>
      </c>
      <c r="E186" s="7">
        <v>18</v>
      </c>
      <c r="F186" s="8">
        <f>C186/D186/60*E186</f>
        <v>89.2401038961039</v>
      </c>
      <c r="G186" s="37">
        <v>389340</v>
      </c>
      <c r="H186" s="26">
        <v>1925</v>
      </c>
      <c r="I186" s="7">
        <v>16</v>
      </c>
      <c r="J186" s="8">
        <f>G186/H186/60*I186</f>
        <v>53.93454545454545</v>
      </c>
      <c r="K186" s="7">
        <v>507400</v>
      </c>
      <c r="L186" s="7">
        <v>846720</v>
      </c>
      <c r="M186" s="7">
        <v>15</v>
      </c>
      <c r="N186" s="8">
        <f t="shared" si="67"/>
        <v>8.988803854875284</v>
      </c>
      <c r="O186" s="8">
        <f t="shared" si="74"/>
        <v>152.16345320552463</v>
      </c>
      <c r="P186" s="8">
        <f t="shared" si="75"/>
        <v>45.95336286806844</v>
      </c>
      <c r="Q186" s="59">
        <f t="shared" si="76"/>
        <v>155.20672226963512</v>
      </c>
      <c r="R186" s="78">
        <f>13.64+7.9</f>
        <v>21.54</v>
      </c>
      <c r="S186" s="76">
        <v>21.54</v>
      </c>
      <c r="T186" s="21">
        <f t="shared" si="77"/>
        <v>24.770999999999997</v>
      </c>
      <c r="U186" s="9">
        <f t="shared" si="70"/>
        <v>387.0833421981035</v>
      </c>
      <c r="V186" s="8">
        <f>U186*25%</f>
        <v>96.77083554952587</v>
      </c>
      <c r="W186" s="52">
        <f t="shared" si="78"/>
        <v>483.85417774762936</v>
      </c>
      <c r="X186" s="22"/>
      <c r="Y186" s="7">
        <v>350</v>
      </c>
      <c r="Z186" s="20">
        <v>252</v>
      </c>
      <c r="AA186" s="4">
        <v>176</v>
      </c>
      <c r="AB186" s="4">
        <v>250</v>
      </c>
      <c r="AC186" s="14">
        <f t="shared" si="79"/>
        <v>174.9171464475167</v>
      </c>
      <c r="AD186" s="56">
        <v>410.63792125412283</v>
      </c>
      <c r="AE186" s="17">
        <f t="shared" si="61"/>
        <v>1.1782988192369033</v>
      </c>
    </row>
    <row r="187" spans="1:31" ht="15">
      <c r="A187" s="43" t="s">
        <v>624</v>
      </c>
      <c r="B187" s="31" t="s">
        <v>163</v>
      </c>
      <c r="C187" s="7">
        <v>572624</v>
      </c>
      <c r="D187" s="7">
        <v>1925</v>
      </c>
      <c r="E187" s="7">
        <v>13</v>
      </c>
      <c r="F187" s="8">
        <f>C187/D187/60*E187</f>
        <v>64.45118614718615</v>
      </c>
      <c r="G187" s="37">
        <v>389340</v>
      </c>
      <c r="H187" s="26">
        <v>1925</v>
      </c>
      <c r="I187" s="7">
        <v>9</v>
      </c>
      <c r="J187" s="8">
        <f>G187/H187/60*I187</f>
        <v>30.338181818181816</v>
      </c>
      <c r="K187" s="7">
        <f>148855+16267.48+22113+39750+270238.88</f>
        <v>497224.36</v>
      </c>
      <c r="L187" s="7">
        <v>846720</v>
      </c>
      <c r="M187" s="7">
        <v>15</v>
      </c>
      <c r="N187" s="8">
        <f t="shared" si="67"/>
        <v>8.808538123582766</v>
      </c>
      <c r="O187" s="8">
        <f t="shared" si="74"/>
        <v>103.59790608895074</v>
      </c>
      <c r="P187" s="8">
        <f t="shared" si="75"/>
        <v>31.286567638863122</v>
      </c>
      <c r="Q187" s="59">
        <f t="shared" si="76"/>
        <v>105.66986421072976</v>
      </c>
      <c r="R187" s="78">
        <f>0.83*2+13.64+1.15*2+12*4</f>
        <v>65.6</v>
      </c>
      <c r="S187" s="76">
        <v>65.6</v>
      </c>
      <c r="T187" s="21">
        <f t="shared" si="77"/>
        <v>75.43999999999998</v>
      </c>
      <c r="U187" s="9">
        <f t="shared" si="70"/>
        <v>324.80287606212636</v>
      </c>
      <c r="V187" s="8">
        <f>U187*25%</f>
        <v>81.20071901553159</v>
      </c>
      <c r="W187" s="52">
        <f t="shared" si="78"/>
        <v>406.00359507765796</v>
      </c>
      <c r="X187" s="22"/>
      <c r="Y187" s="7">
        <v>300</v>
      </c>
      <c r="Z187" s="20">
        <v>252</v>
      </c>
      <c r="AA187" s="4">
        <v>152</v>
      </c>
      <c r="AB187" s="4">
        <v>250</v>
      </c>
      <c r="AC187" s="14">
        <f t="shared" si="79"/>
        <v>167.10762834056442</v>
      </c>
      <c r="AD187" s="56">
        <v>350.4426040646709</v>
      </c>
      <c r="AE187" s="17">
        <f t="shared" si="61"/>
        <v>1.158545195043505</v>
      </c>
    </row>
    <row r="188" spans="1:31" ht="30">
      <c r="A188" s="43" t="s">
        <v>625</v>
      </c>
      <c r="B188" s="31" t="s">
        <v>411</v>
      </c>
      <c r="C188" s="7">
        <v>572624</v>
      </c>
      <c r="D188" s="7">
        <v>1925</v>
      </c>
      <c r="E188" s="7">
        <v>16</v>
      </c>
      <c r="F188" s="8">
        <f>C188/D188/60*E188</f>
        <v>79.3245367965368</v>
      </c>
      <c r="G188" s="37">
        <v>389340</v>
      </c>
      <c r="H188" s="26">
        <v>1925</v>
      </c>
      <c r="I188" s="7">
        <v>15</v>
      </c>
      <c r="J188" s="8">
        <f>G188/H188/60*I188</f>
        <v>50.56363636363636</v>
      </c>
      <c r="K188" s="7">
        <f>148855+16267.48+22113+39750+270238.88</f>
        <v>497224.36</v>
      </c>
      <c r="L188" s="7">
        <v>846720</v>
      </c>
      <c r="M188" s="7">
        <v>20</v>
      </c>
      <c r="N188" s="8">
        <f>K188/L188*M188</f>
        <v>11.744717498110354</v>
      </c>
      <c r="O188" s="8">
        <f>F188+J188+N188</f>
        <v>141.63289065828351</v>
      </c>
      <c r="P188" s="8">
        <f>O188*0.302</f>
        <v>42.77313297880162</v>
      </c>
      <c r="Q188" s="59">
        <f t="shared" si="76"/>
        <v>144.46554847144918</v>
      </c>
      <c r="R188" s="78">
        <f>0.83*2+13.64+1.15*2+12*4</f>
        <v>65.6</v>
      </c>
      <c r="S188" s="79">
        <v>65.6</v>
      </c>
      <c r="T188" s="21">
        <f t="shared" si="77"/>
        <v>75.43999999999998</v>
      </c>
      <c r="U188" s="9">
        <f t="shared" si="70"/>
        <v>416.05628960664467</v>
      </c>
      <c r="V188" s="8">
        <f>U188*25%</f>
        <v>104.01407240166117</v>
      </c>
      <c r="W188" s="52">
        <f>U188+V188</f>
        <v>520.0703620083059</v>
      </c>
      <c r="X188" s="22"/>
      <c r="Y188" s="7">
        <v>400</v>
      </c>
      <c r="Z188" s="20"/>
      <c r="AA188" s="4">
        <v>152</v>
      </c>
      <c r="AB188" s="4">
        <v>250</v>
      </c>
      <c r="AC188" s="14">
        <f t="shared" si="79"/>
        <v>242.15155395283284</v>
      </c>
      <c r="AD188" s="56">
        <v>439.9234720862279</v>
      </c>
      <c r="AE188" s="17">
        <f t="shared" si="61"/>
        <v>1.182183709230156</v>
      </c>
    </row>
    <row r="189" spans="1:31" s="6" customFormat="1" ht="15">
      <c r="A189" s="43"/>
      <c r="B189" s="85" t="s">
        <v>138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7"/>
      <c r="S189" s="87"/>
      <c r="T189" s="86"/>
      <c r="U189" s="86"/>
      <c r="V189" s="86"/>
      <c r="W189" s="88"/>
      <c r="X189" s="23"/>
      <c r="Y189" s="21"/>
      <c r="Z189" s="20"/>
      <c r="AA189" s="4"/>
      <c r="AB189" s="4"/>
      <c r="AC189" s="14"/>
      <c r="AD189" s="66"/>
      <c r="AE189" s="17"/>
    </row>
    <row r="190" spans="1:31" ht="15">
      <c r="A190" s="43" t="s">
        <v>626</v>
      </c>
      <c r="B190" s="31" t="s">
        <v>164</v>
      </c>
      <c r="C190" s="7">
        <v>572624</v>
      </c>
      <c r="D190" s="7">
        <v>1925</v>
      </c>
      <c r="E190" s="7">
        <v>11</v>
      </c>
      <c r="F190" s="8">
        <f aca="true" t="shared" si="80" ref="F190:F195">C190/D190/60*E190</f>
        <v>54.53561904761905</v>
      </c>
      <c r="G190" s="37">
        <v>389340</v>
      </c>
      <c r="H190" s="7">
        <v>1925</v>
      </c>
      <c r="I190" s="7">
        <v>10</v>
      </c>
      <c r="J190" s="8">
        <f aca="true" t="shared" si="81" ref="J190:J195">G190/H190/60*I190</f>
        <v>33.709090909090904</v>
      </c>
      <c r="K190" s="7">
        <f>213183.52+217037.4</f>
        <v>430220.92</v>
      </c>
      <c r="L190" s="7">
        <v>846720</v>
      </c>
      <c r="M190" s="7">
        <v>10</v>
      </c>
      <c r="N190" s="8">
        <f t="shared" si="67"/>
        <v>5.081029383975812</v>
      </c>
      <c r="O190" s="8">
        <f aca="true" t="shared" si="82" ref="O190:O195">F190+J190+N190</f>
        <v>93.32573934068577</v>
      </c>
      <c r="P190" s="8">
        <f aca="true" t="shared" si="83" ref="P190:P195">O190*0.302</f>
        <v>28.1843732808871</v>
      </c>
      <c r="Q190" s="58">
        <f aca="true" t="shared" si="84" ref="Q190:Q195">(O190)*102%</f>
        <v>95.1922541274995</v>
      </c>
      <c r="R190" s="78">
        <f>1.15*3.5</f>
        <v>4.0249999999999995</v>
      </c>
      <c r="S190" s="79">
        <v>4.0249999999999995</v>
      </c>
      <c r="T190" s="21">
        <f t="shared" si="77"/>
        <v>4.628749999999999</v>
      </c>
      <c r="U190" s="9">
        <f t="shared" si="70"/>
        <v>226.4121461330482</v>
      </c>
      <c r="V190" s="8">
        <f aca="true" t="shared" si="85" ref="V190:V195">U190*25%</f>
        <v>56.60303653326205</v>
      </c>
      <c r="W190" s="52">
        <f aca="true" t="shared" si="86" ref="W190:W195">U190+V190</f>
        <v>283.01518266631024</v>
      </c>
      <c r="X190" s="22"/>
      <c r="Y190" s="7">
        <v>250</v>
      </c>
      <c r="Z190" s="20">
        <v>199</v>
      </c>
      <c r="AA190" s="4">
        <v>142</v>
      </c>
      <c r="AB190" s="4">
        <v>200</v>
      </c>
      <c r="AC190" s="14">
        <f aca="true" t="shared" si="87" ref="AC190:AC195">(100*W190)/AA190-100</f>
        <v>99.30646666641567</v>
      </c>
      <c r="AD190" s="56">
        <v>244.79499501046607</v>
      </c>
      <c r="AE190" s="17">
        <f t="shared" si="61"/>
        <v>1.1561314096891977</v>
      </c>
    </row>
    <row r="191" spans="1:31" ht="15">
      <c r="A191" s="43" t="s">
        <v>627</v>
      </c>
      <c r="B191" s="31" t="s">
        <v>165</v>
      </c>
      <c r="C191" s="7">
        <v>572624</v>
      </c>
      <c r="D191" s="7">
        <v>1925</v>
      </c>
      <c r="E191" s="7">
        <v>12</v>
      </c>
      <c r="F191" s="8">
        <f t="shared" si="80"/>
        <v>59.49340259740261</v>
      </c>
      <c r="G191" s="37">
        <v>389340</v>
      </c>
      <c r="H191" s="7">
        <v>1925</v>
      </c>
      <c r="I191" s="7">
        <v>10</v>
      </c>
      <c r="J191" s="8">
        <f t="shared" si="81"/>
        <v>33.709090909090904</v>
      </c>
      <c r="K191" s="7">
        <v>269909.66</v>
      </c>
      <c r="L191" s="7">
        <v>846720</v>
      </c>
      <c r="M191" s="7">
        <v>10</v>
      </c>
      <c r="N191" s="8">
        <f t="shared" si="67"/>
        <v>3.187708569538926</v>
      </c>
      <c r="O191" s="8">
        <f t="shared" si="82"/>
        <v>96.39020207603244</v>
      </c>
      <c r="P191" s="8">
        <f t="shared" si="83"/>
        <v>29.109841026961796</v>
      </c>
      <c r="Q191" s="58">
        <f t="shared" si="84"/>
        <v>98.31800611755308</v>
      </c>
      <c r="R191" s="78">
        <f>1.15*3.5</f>
        <v>4.0249999999999995</v>
      </c>
      <c r="S191" s="79">
        <v>4.0249999999999995</v>
      </c>
      <c r="T191" s="21">
        <f t="shared" si="77"/>
        <v>4.628749999999999</v>
      </c>
      <c r="U191" s="9">
        <f t="shared" si="70"/>
        <v>231.63450779008625</v>
      </c>
      <c r="V191" s="8">
        <f t="shared" si="85"/>
        <v>57.90862694752156</v>
      </c>
      <c r="W191" s="52">
        <f t="shared" si="86"/>
        <v>289.54313473760783</v>
      </c>
      <c r="X191" s="22"/>
      <c r="Y191" s="7">
        <v>250</v>
      </c>
      <c r="Z191" s="20">
        <v>199</v>
      </c>
      <c r="AA191" s="4">
        <v>142</v>
      </c>
      <c r="AB191" s="4">
        <v>200</v>
      </c>
      <c r="AC191" s="14">
        <f t="shared" si="87"/>
        <v>103.90361601239988</v>
      </c>
      <c r="AD191" s="56">
        <v>250.13335934150388</v>
      </c>
      <c r="AE191" s="17">
        <f t="shared" si="61"/>
        <v>1.1575550558304313</v>
      </c>
    </row>
    <row r="192" spans="1:31" ht="15">
      <c r="A192" s="43" t="s">
        <v>628</v>
      </c>
      <c r="B192" s="31" t="s">
        <v>166</v>
      </c>
      <c r="C192" s="7">
        <v>572624</v>
      </c>
      <c r="D192" s="7">
        <v>1925</v>
      </c>
      <c r="E192" s="7">
        <v>15</v>
      </c>
      <c r="F192" s="8">
        <f t="shared" si="80"/>
        <v>74.36675324675325</v>
      </c>
      <c r="G192" s="37">
        <v>389340</v>
      </c>
      <c r="H192" s="7">
        <v>1925</v>
      </c>
      <c r="I192" s="7">
        <v>10</v>
      </c>
      <c r="J192" s="8">
        <f t="shared" si="81"/>
        <v>33.709090909090904</v>
      </c>
      <c r="K192" s="7">
        <v>186043.52</v>
      </c>
      <c r="L192" s="7">
        <v>846720</v>
      </c>
      <c r="M192" s="7">
        <v>15</v>
      </c>
      <c r="N192" s="8">
        <f t="shared" si="67"/>
        <v>3.2958390022675736</v>
      </c>
      <c r="O192" s="8">
        <f t="shared" si="82"/>
        <v>111.37168315811172</v>
      </c>
      <c r="P192" s="8">
        <f t="shared" si="83"/>
        <v>33.63424831374974</v>
      </c>
      <c r="Q192" s="58">
        <f t="shared" si="84"/>
        <v>113.59911682127395</v>
      </c>
      <c r="R192" s="78">
        <f>1.15*11</f>
        <v>12.649999999999999</v>
      </c>
      <c r="S192" s="79">
        <v>12.649999999999999</v>
      </c>
      <c r="T192" s="21">
        <f t="shared" si="77"/>
        <v>14.547499999999998</v>
      </c>
      <c r="U192" s="9">
        <f t="shared" si="70"/>
        <v>276.448387295403</v>
      </c>
      <c r="V192" s="8">
        <f t="shared" si="85"/>
        <v>69.11209682385075</v>
      </c>
      <c r="W192" s="52">
        <f t="shared" si="86"/>
        <v>345.5604841192537</v>
      </c>
      <c r="X192" s="22"/>
      <c r="Y192" s="7">
        <v>300</v>
      </c>
      <c r="Z192" s="20">
        <v>257</v>
      </c>
      <c r="AA192" s="4">
        <v>224</v>
      </c>
      <c r="AB192" s="4">
        <v>250</v>
      </c>
      <c r="AC192" s="14">
        <f t="shared" si="87"/>
        <v>54.26807326752399</v>
      </c>
      <c r="AD192" s="56">
        <v>301.41862356081214</v>
      </c>
      <c r="AE192" s="17">
        <f t="shared" si="61"/>
        <v>1.1464470245301077</v>
      </c>
    </row>
    <row r="193" spans="1:31" ht="15">
      <c r="A193" s="43" t="s">
        <v>629</v>
      </c>
      <c r="B193" s="34" t="s">
        <v>167</v>
      </c>
      <c r="C193" s="7">
        <v>572624</v>
      </c>
      <c r="D193" s="7">
        <v>1925</v>
      </c>
      <c r="E193" s="7">
        <v>15</v>
      </c>
      <c r="F193" s="8">
        <f t="shared" si="80"/>
        <v>74.36675324675325</v>
      </c>
      <c r="G193" s="37">
        <v>389340</v>
      </c>
      <c r="H193" s="7">
        <v>1925</v>
      </c>
      <c r="I193" s="7">
        <v>11</v>
      </c>
      <c r="J193" s="8">
        <f t="shared" si="81"/>
        <v>37.08</v>
      </c>
      <c r="K193" s="7">
        <f>755655.48+42000</f>
        <v>797655.48</v>
      </c>
      <c r="L193" s="7">
        <v>846720</v>
      </c>
      <c r="M193" s="7">
        <v>15</v>
      </c>
      <c r="N193" s="8">
        <f t="shared" si="67"/>
        <v>14.130801445578232</v>
      </c>
      <c r="O193" s="8">
        <f t="shared" si="82"/>
        <v>125.57755469233147</v>
      </c>
      <c r="P193" s="8">
        <f t="shared" si="83"/>
        <v>37.924421517084106</v>
      </c>
      <c r="Q193" s="58">
        <f t="shared" si="84"/>
        <v>128.0891057861781</v>
      </c>
      <c r="R193" s="78">
        <f>1.15*11</f>
        <v>12.649999999999999</v>
      </c>
      <c r="S193" s="79">
        <v>12.649999999999999</v>
      </c>
      <c r="T193" s="21">
        <f t="shared" si="77"/>
        <v>14.547499999999998</v>
      </c>
      <c r="U193" s="9">
        <f t="shared" si="70"/>
        <v>320.26938344117195</v>
      </c>
      <c r="V193" s="8">
        <f t="shared" si="85"/>
        <v>80.06734586029299</v>
      </c>
      <c r="W193" s="52">
        <f t="shared" si="86"/>
        <v>400.33672930146497</v>
      </c>
      <c r="X193" s="22"/>
      <c r="Y193" s="7">
        <v>350</v>
      </c>
      <c r="Z193" s="20">
        <v>257</v>
      </c>
      <c r="AA193" s="4">
        <v>224</v>
      </c>
      <c r="AB193" s="4">
        <v>250</v>
      </c>
      <c r="AC193" s="14">
        <f t="shared" si="87"/>
        <v>78.7217541524397</v>
      </c>
      <c r="AD193" s="56">
        <v>346.41080510665967</v>
      </c>
      <c r="AE193" s="17">
        <f t="shared" si="61"/>
        <v>1.1556704450318793</v>
      </c>
    </row>
    <row r="194" spans="1:31" ht="33.75" customHeight="1">
      <c r="A194" s="43" t="s">
        <v>630</v>
      </c>
      <c r="B194" s="34" t="s">
        <v>168</v>
      </c>
      <c r="C194" s="7">
        <v>572624</v>
      </c>
      <c r="D194" s="7">
        <v>1925</v>
      </c>
      <c r="E194" s="7">
        <v>35</v>
      </c>
      <c r="F194" s="8">
        <f t="shared" si="80"/>
        <v>173.52242424242425</v>
      </c>
      <c r="G194" s="37">
        <v>389340</v>
      </c>
      <c r="H194" s="7">
        <v>1925</v>
      </c>
      <c r="I194" s="7">
        <v>30</v>
      </c>
      <c r="J194" s="8">
        <f t="shared" si="81"/>
        <v>101.12727272727273</v>
      </c>
      <c r="K194" s="7">
        <v>547046.82</v>
      </c>
      <c r="L194" s="7">
        <v>846720</v>
      </c>
      <c r="M194" s="7">
        <v>40</v>
      </c>
      <c r="N194" s="8">
        <f t="shared" si="67"/>
        <v>25.843103741496595</v>
      </c>
      <c r="O194" s="8">
        <f t="shared" si="82"/>
        <v>300.4928007111935</v>
      </c>
      <c r="P194" s="8">
        <f t="shared" si="83"/>
        <v>90.74882581478045</v>
      </c>
      <c r="Q194" s="58">
        <f t="shared" si="84"/>
        <v>306.5026567254174</v>
      </c>
      <c r="R194" s="78">
        <f>1.15*17</f>
        <v>19.549999999999997</v>
      </c>
      <c r="S194" s="79">
        <v>19.549999999999997</v>
      </c>
      <c r="T194" s="21">
        <f t="shared" si="77"/>
        <v>22.482499999999995</v>
      </c>
      <c r="U194" s="9">
        <f t="shared" si="70"/>
        <v>746.069886992888</v>
      </c>
      <c r="V194" s="8">
        <f t="shared" si="85"/>
        <v>186.517471748222</v>
      </c>
      <c r="W194" s="52">
        <f t="shared" si="86"/>
        <v>932.5873587411099</v>
      </c>
      <c r="X194" s="22"/>
      <c r="Y194" s="7">
        <v>800</v>
      </c>
      <c r="Z194" s="20">
        <v>499</v>
      </c>
      <c r="AA194" s="4">
        <v>325</v>
      </c>
      <c r="AB194" s="4">
        <v>500</v>
      </c>
      <c r="AC194" s="14">
        <f t="shared" si="87"/>
        <v>186.94995653572613</v>
      </c>
      <c r="AD194" s="56">
        <v>790.1130562346166</v>
      </c>
      <c r="AE194" s="17">
        <f t="shared" si="61"/>
        <v>1.1803214127171529</v>
      </c>
    </row>
    <row r="195" spans="1:31" ht="15">
      <c r="A195" s="43" t="s">
        <v>631</v>
      </c>
      <c r="B195" s="34" t="s">
        <v>169</v>
      </c>
      <c r="C195" s="7">
        <v>572624</v>
      </c>
      <c r="D195" s="7">
        <v>1925</v>
      </c>
      <c r="E195" s="7">
        <v>25</v>
      </c>
      <c r="F195" s="8">
        <f t="shared" si="80"/>
        <v>123.94458874458876</v>
      </c>
      <c r="G195" s="37">
        <v>389340</v>
      </c>
      <c r="H195" s="7">
        <v>1925</v>
      </c>
      <c r="I195" s="7">
        <v>15</v>
      </c>
      <c r="J195" s="8">
        <f t="shared" si="81"/>
        <v>50.56363636363636</v>
      </c>
      <c r="K195" s="7">
        <v>547046.82</v>
      </c>
      <c r="L195" s="7">
        <v>846720</v>
      </c>
      <c r="M195" s="7">
        <v>20</v>
      </c>
      <c r="N195" s="8">
        <f t="shared" si="67"/>
        <v>12.921551870748297</v>
      </c>
      <c r="O195" s="8">
        <f t="shared" si="82"/>
        <v>187.42977697897342</v>
      </c>
      <c r="P195" s="8">
        <f t="shared" si="83"/>
        <v>56.603792647649975</v>
      </c>
      <c r="Q195" s="58">
        <f t="shared" si="84"/>
        <v>191.1783725185529</v>
      </c>
      <c r="R195" s="78">
        <f>1.15*17</f>
        <v>19.549999999999997</v>
      </c>
      <c r="S195" s="79">
        <v>19.549999999999997</v>
      </c>
      <c r="T195" s="21">
        <f t="shared" si="77"/>
        <v>22.482499999999995</v>
      </c>
      <c r="U195" s="9">
        <f t="shared" si="70"/>
        <v>470.6159940159246</v>
      </c>
      <c r="V195" s="8">
        <f t="shared" si="85"/>
        <v>117.65399850398116</v>
      </c>
      <c r="W195" s="52">
        <f t="shared" si="86"/>
        <v>588.2699925199058</v>
      </c>
      <c r="X195" s="22"/>
      <c r="Y195" s="7">
        <v>500</v>
      </c>
      <c r="Z195" s="20">
        <v>340</v>
      </c>
      <c r="AA195" s="4">
        <v>243</v>
      </c>
      <c r="AB195" s="4">
        <v>350</v>
      </c>
      <c r="AC195" s="14">
        <f t="shared" si="87"/>
        <v>142.08641667485836</v>
      </c>
      <c r="AD195" s="56">
        <v>504.5911625848407</v>
      </c>
      <c r="AE195" s="17">
        <f t="shared" si="61"/>
        <v>1.1658349098038268</v>
      </c>
    </row>
    <row r="196" spans="1:31" s="6" customFormat="1" ht="20.25" customHeight="1">
      <c r="A196" s="43"/>
      <c r="B196" s="85" t="s">
        <v>450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7"/>
      <c r="S196" s="87"/>
      <c r="T196" s="86"/>
      <c r="U196" s="86"/>
      <c r="V196" s="86"/>
      <c r="W196" s="88"/>
      <c r="X196" s="23"/>
      <c r="Y196" s="21"/>
      <c r="Z196" s="20"/>
      <c r="AA196" s="4"/>
      <c r="AB196" s="4"/>
      <c r="AC196" s="14"/>
      <c r="AD196" s="66"/>
      <c r="AE196" s="17"/>
    </row>
    <row r="197" spans="1:31" ht="18.75" customHeight="1">
      <c r="A197" s="43" t="s">
        <v>632</v>
      </c>
      <c r="B197" s="31" t="s">
        <v>6</v>
      </c>
      <c r="C197" s="7">
        <v>572624</v>
      </c>
      <c r="D197" s="7">
        <v>1650</v>
      </c>
      <c r="E197" s="7">
        <v>30</v>
      </c>
      <c r="F197" s="8">
        <f aca="true" t="shared" si="88" ref="F197:F203">C197/D197/60*E197</f>
        <v>173.52242424242425</v>
      </c>
      <c r="G197" s="37">
        <v>389340</v>
      </c>
      <c r="H197" s="7">
        <v>1925</v>
      </c>
      <c r="I197" s="7">
        <v>15</v>
      </c>
      <c r="J197" s="8">
        <f aca="true" t="shared" si="89" ref="J197:J203">G197/H197/60*I197</f>
        <v>50.56363636363636</v>
      </c>
      <c r="K197" s="7">
        <v>0</v>
      </c>
      <c r="L197" s="7">
        <v>1</v>
      </c>
      <c r="M197" s="7">
        <v>0</v>
      </c>
      <c r="N197" s="8">
        <f aca="true" t="shared" si="90" ref="N197:N203">K197/L197*M197</f>
        <v>0</v>
      </c>
      <c r="O197" s="8">
        <f aca="true" t="shared" si="91" ref="O197:O203">F197+J197+N197</f>
        <v>224.0860606060606</v>
      </c>
      <c r="P197" s="8">
        <f aca="true" t="shared" si="92" ref="P197:P203">O197*0.302</f>
        <v>67.67399030303031</v>
      </c>
      <c r="Q197" s="58">
        <f aca="true" t="shared" si="93" ref="Q197:Q203">(O197)*102%</f>
        <v>228.56778181818183</v>
      </c>
      <c r="R197" s="78">
        <f>1.99+13.64</f>
        <v>15.63</v>
      </c>
      <c r="S197" s="79">
        <v>15.63</v>
      </c>
      <c r="T197" s="21">
        <f t="shared" si="77"/>
        <v>17.9745</v>
      </c>
      <c r="U197" s="9">
        <f t="shared" si="70"/>
        <v>538.3023327272728</v>
      </c>
      <c r="V197" s="8">
        <f aca="true" t="shared" si="94" ref="V197:V203">U197*25%</f>
        <v>134.5755831818182</v>
      </c>
      <c r="W197" s="52">
        <f aca="true" t="shared" si="95" ref="W197:W203">U197+V197</f>
        <v>672.8779159090909</v>
      </c>
      <c r="X197" s="22"/>
      <c r="Y197" s="7">
        <v>600</v>
      </c>
      <c r="Z197" s="20">
        <v>411</v>
      </c>
      <c r="AA197" s="4">
        <v>551</v>
      </c>
      <c r="AB197" s="4" t="s">
        <v>293</v>
      </c>
      <c r="AC197" s="14">
        <f aca="true" t="shared" si="96" ref="AC197:AC203">(100*W197)/AA197-100</f>
        <v>22.119403976241557</v>
      </c>
      <c r="AD197" s="56">
        <v>582.1643322077922</v>
      </c>
      <c r="AE197" s="17">
        <f t="shared" si="61"/>
        <v>1.1558212667500218</v>
      </c>
    </row>
    <row r="198" spans="1:31" ht="18.75" customHeight="1">
      <c r="A198" s="43" t="s">
        <v>633</v>
      </c>
      <c r="B198" s="31" t="s">
        <v>449</v>
      </c>
      <c r="C198" s="7">
        <v>572624</v>
      </c>
      <c r="D198" s="7">
        <v>1650</v>
      </c>
      <c r="E198" s="7">
        <v>32</v>
      </c>
      <c r="F198" s="8">
        <f t="shared" si="88"/>
        <v>185.09058585858585</v>
      </c>
      <c r="G198" s="37">
        <v>389340</v>
      </c>
      <c r="H198" s="7">
        <v>1925</v>
      </c>
      <c r="I198" s="7">
        <v>30</v>
      </c>
      <c r="J198" s="8">
        <f t="shared" si="89"/>
        <v>101.12727272727273</v>
      </c>
      <c r="K198" s="7">
        <v>50942</v>
      </c>
      <c r="L198" s="7">
        <v>846720</v>
      </c>
      <c r="M198" s="7">
        <v>16</v>
      </c>
      <c r="N198" s="8">
        <f t="shared" si="90"/>
        <v>0.9626228269085412</v>
      </c>
      <c r="O198" s="8">
        <f t="shared" si="91"/>
        <v>287.18048141276716</v>
      </c>
      <c r="P198" s="8">
        <f t="shared" si="92"/>
        <v>86.72850538665568</v>
      </c>
      <c r="Q198" s="58">
        <f t="shared" si="93"/>
        <v>292.9240910410225</v>
      </c>
      <c r="R198" s="78">
        <f>13.64+1.66</f>
        <v>15.3</v>
      </c>
      <c r="S198" s="79">
        <v>15.3</v>
      </c>
      <c r="T198" s="21">
        <f t="shared" si="77"/>
        <v>17.595</v>
      </c>
      <c r="U198" s="9">
        <f t="shared" si="70"/>
        <v>685.3907006673539</v>
      </c>
      <c r="V198" s="8">
        <f t="shared" si="94"/>
        <v>171.34767516683848</v>
      </c>
      <c r="W198" s="52">
        <f t="shared" si="95"/>
        <v>856.7383758341924</v>
      </c>
      <c r="X198" s="22">
        <v>450</v>
      </c>
      <c r="Y198" s="7">
        <v>700</v>
      </c>
      <c r="Z198" s="20">
        <v>359</v>
      </c>
      <c r="AA198" s="4">
        <v>255</v>
      </c>
      <c r="AB198" s="4" t="s">
        <v>293</v>
      </c>
      <c r="AC198" s="14">
        <f t="shared" si="96"/>
        <v>235.97583366046763</v>
      </c>
      <c r="AD198" s="56">
        <v>743.1726819380881</v>
      </c>
      <c r="AE198" s="17">
        <f t="shared" si="61"/>
        <v>1.1528119865761768</v>
      </c>
    </row>
    <row r="199" spans="1:31" ht="18.75" customHeight="1">
      <c r="A199" s="43" t="s">
        <v>634</v>
      </c>
      <c r="B199" s="31" t="s">
        <v>8</v>
      </c>
      <c r="C199" s="7">
        <v>572624</v>
      </c>
      <c r="D199" s="7">
        <v>1500</v>
      </c>
      <c r="E199" s="7">
        <v>37</v>
      </c>
      <c r="F199" s="8">
        <f t="shared" si="88"/>
        <v>235.4120888888889</v>
      </c>
      <c r="G199" s="37">
        <v>389340</v>
      </c>
      <c r="H199" s="7">
        <v>1925</v>
      </c>
      <c r="I199" s="7">
        <v>25</v>
      </c>
      <c r="J199" s="8">
        <f t="shared" si="89"/>
        <v>84.27272727272727</v>
      </c>
      <c r="K199" s="7">
        <v>7363.2</v>
      </c>
      <c r="L199" s="7">
        <v>846720</v>
      </c>
      <c r="M199" s="7">
        <v>30</v>
      </c>
      <c r="N199" s="8">
        <f t="shared" si="90"/>
        <v>0.2608843537414966</v>
      </c>
      <c r="O199" s="8">
        <f t="shared" si="91"/>
        <v>319.94570051535766</v>
      </c>
      <c r="P199" s="8">
        <f t="shared" si="92"/>
        <v>96.623601555638</v>
      </c>
      <c r="Q199" s="58">
        <f t="shared" si="93"/>
        <v>326.34461452566484</v>
      </c>
      <c r="R199" s="78">
        <f>13.64+0.83*2+7.38</f>
        <v>22.68</v>
      </c>
      <c r="S199" s="79">
        <v>22.68</v>
      </c>
      <c r="T199" s="21">
        <f t="shared" si="77"/>
        <v>26.081999999999997</v>
      </c>
      <c r="U199" s="9">
        <f t="shared" si="70"/>
        <v>769.256800950402</v>
      </c>
      <c r="V199" s="8">
        <f t="shared" si="94"/>
        <v>192.3142002376005</v>
      </c>
      <c r="W199" s="52">
        <f t="shared" si="95"/>
        <v>961.5710011880025</v>
      </c>
      <c r="X199" s="22"/>
      <c r="Y199" s="7">
        <v>800</v>
      </c>
      <c r="Z199" s="20">
        <v>418</v>
      </c>
      <c r="AA199" s="4">
        <v>240</v>
      </c>
      <c r="AB199" s="4" t="s">
        <v>293</v>
      </c>
      <c r="AC199" s="14">
        <f t="shared" si="96"/>
        <v>300.65458382833435</v>
      </c>
      <c r="AD199" s="56">
        <v>829.8184796815088</v>
      </c>
      <c r="AE199" s="17">
        <f t="shared" si="61"/>
        <v>1.158772701178047</v>
      </c>
    </row>
    <row r="200" spans="1:31" ht="15">
      <c r="A200" s="43" t="s">
        <v>635</v>
      </c>
      <c r="B200" s="31" t="s">
        <v>24</v>
      </c>
      <c r="C200" s="7">
        <v>572624</v>
      </c>
      <c r="D200" s="7">
        <v>1650</v>
      </c>
      <c r="E200" s="7">
        <v>32</v>
      </c>
      <c r="F200" s="8">
        <f t="shared" si="88"/>
        <v>185.09058585858585</v>
      </c>
      <c r="G200" s="37">
        <v>389340</v>
      </c>
      <c r="H200" s="7">
        <v>1925</v>
      </c>
      <c r="I200" s="7">
        <v>30</v>
      </c>
      <c r="J200" s="8">
        <f t="shared" si="89"/>
        <v>101.12727272727273</v>
      </c>
      <c r="K200" s="7">
        <v>14726.4</v>
      </c>
      <c r="L200" s="7">
        <v>846720</v>
      </c>
      <c r="M200" s="7">
        <v>20</v>
      </c>
      <c r="N200" s="8">
        <f t="shared" si="90"/>
        <v>0.34784580498866213</v>
      </c>
      <c r="O200" s="8">
        <f t="shared" si="91"/>
        <v>286.56570439084726</v>
      </c>
      <c r="P200" s="8">
        <f t="shared" si="92"/>
        <v>86.54284272603587</v>
      </c>
      <c r="Q200" s="58">
        <f t="shared" si="93"/>
        <v>292.2970184786642</v>
      </c>
      <c r="R200" s="78">
        <f>13.64+1.99*2</f>
        <v>17.62</v>
      </c>
      <c r="S200" s="79">
        <v>17.62</v>
      </c>
      <c r="T200" s="21">
        <f t="shared" si="77"/>
        <v>20.262999999999998</v>
      </c>
      <c r="U200" s="9">
        <f t="shared" si="70"/>
        <v>686.016411400536</v>
      </c>
      <c r="V200" s="8">
        <f t="shared" si="94"/>
        <v>171.504102850134</v>
      </c>
      <c r="W200" s="52">
        <f t="shared" si="95"/>
        <v>857.52051425067</v>
      </c>
      <c r="X200" s="22"/>
      <c r="Y200" s="7">
        <v>600</v>
      </c>
      <c r="Z200" s="20">
        <v>418</v>
      </c>
      <c r="AA200" s="4">
        <v>255</v>
      </c>
      <c r="AB200" s="4" t="s">
        <v>293</v>
      </c>
      <c r="AC200" s="14">
        <f t="shared" si="96"/>
        <v>236.28255460810584</v>
      </c>
      <c r="AD200" s="56">
        <v>743.519820354566</v>
      </c>
      <c r="AE200" s="17">
        <f t="shared" si="61"/>
        <v>1.1533256959333509</v>
      </c>
    </row>
    <row r="201" spans="1:31" ht="15">
      <c r="A201" s="43" t="s">
        <v>636</v>
      </c>
      <c r="B201" s="31" t="s">
        <v>110</v>
      </c>
      <c r="C201" s="7">
        <v>572624</v>
      </c>
      <c r="D201" s="7">
        <v>1925</v>
      </c>
      <c r="E201" s="7">
        <v>30</v>
      </c>
      <c r="F201" s="8">
        <f t="shared" si="88"/>
        <v>148.7335064935065</v>
      </c>
      <c r="G201" s="37">
        <v>389340</v>
      </c>
      <c r="H201" s="7">
        <v>1925</v>
      </c>
      <c r="I201" s="7">
        <v>22</v>
      </c>
      <c r="J201" s="8">
        <f t="shared" si="89"/>
        <v>74.16</v>
      </c>
      <c r="K201" s="7">
        <v>0</v>
      </c>
      <c r="L201" s="7">
        <v>1</v>
      </c>
      <c r="M201" s="7">
        <v>0</v>
      </c>
      <c r="N201" s="8">
        <f t="shared" si="90"/>
        <v>0</v>
      </c>
      <c r="O201" s="8">
        <f t="shared" si="91"/>
        <v>222.8935064935065</v>
      </c>
      <c r="P201" s="8">
        <f t="shared" si="92"/>
        <v>67.31383896103895</v>
      </c>
      <c r="Q201" s="58">
        <f t="shared" si="93"/>
        <v>227.35137662337664</v>
      </c>
      <c r="R201" s="78">
        <f>13.64+1.99*2</f>
        <v>17.62</v>
      </c>
      <c r="S201" s="79">
        <v>17.62</v>
      </c>
      <c r="T201" s="21">
        <f t="shared" si="77"/>
        <v>20.262999999999998</v>
      </c>
      <c r="U201" s="9">
        <f t="shared" si="70"/>
        <v>537.8217220779221</v>
      </c>
      <c r="V201" s="8">
        <f t="shared" si="94"/>
        <v>134.45543051948053</v>
      </c>
      <c r="W201" s="52">
        <f t="shared" si="95"/>
        <v>672.2771525974026</v>
      </c>
      <c r="X201" s="22"/>
      <c r="Y201" s="7">
        <v>600</v>
      </c>
      <c r="Z201" s="20">
        <v>418</v>
      </c>
      <c r="AA201" s="4">
        <v>255</v>
      </c>
      <c r="AB201" s="4" t="s">
        <v>293</v>
      </c>
      <c r="AC201" s="14">
        <f t="shared" si="96"/>
        <v>163.63809905780494</v>
      </c>
      <c r="AD201" s="56">
        <v>578.3327755844157</v>
      </c>
      <c r="AE201" s="17">
        <f t="shared" si="61"/>
        <v>1.1624400016375598</v>
      </c>
    </row>
    <row r="202" spans="1:31" ht="15">
      <c r="A202" s="43" t="s">
        <v>637</v>
      </c>
      <c r="B202" s="31" t="s">
        <v>35</v>
      </c>
      <c r="C202" s="7">
        <v>572624</v>
      </c>
      <c r="D202" s="7">
        <v>1925</v>
      </c>
      <c r="E202" s="7">
        <v>30</v>
      </c>
      <c r="F202" s="8">
        <f t="shared" si="88"/>
        <v>148.7335064935065</v>
      </c>
      <c r="G202" s="37">
        <v>389340</v>
      </c>
      <c r="H202" s="7">
        <v>1925</v>
      </c>
      <c r="I202" s="7">
        <v>22</v>
      </c>
      <c r="J202" s="8">
        <f t="shared" si="89"/>
        <v>74.16</v>
      </c>
      <c r="K202" s="7">
        <f>4680+450+5700+3800+3900</f>
        <v>18530</v>
      </c>
      <c r="L202" s="7">
        <v>846720</v>
      </c>
      <c r="M202" s="7">
        <v>30</v>
      </c>
      <c r="N202" s="8">
        <f t="shared" si="90"/>
        <v>0.6565334467120182</v>
      </c>
      <c r="O202" s="8">
        <f t="shared" si="91"/>
        <v>223.5500399402185</v>
      </c>
      <c r="P202" s="8">
        <f t="shared" si="92"/>
        <v>67.51211206194598</v>
      </c>
      <c r="Q202" s="58">
        <f t="shared" si="93"/>
        <v>228.02104073902288</v>
      </c>
      <c r="R202" s="78">
        <f>13.64+0.83*2+7.38</f>
        <v>22.68</v>
      </c>
      <c r="S202" s="79">
        <v>22.68</v>
      </c>
      <c r="T202" s="21">
        <f t="shared" si="77"/>
        <v>26.081999999999997</v>
      </c>
      <c r="U202" s="9">
        <f t="shared" si="70"/>
        <v>545.8217261878993</v>
      </c>
      <c r="V202" s="8">
        <f t="shared" si="94"/>
        <v>136.45543154697484</v>
      </c>
      <c r="W202" s="52">
        <f t="shared" si="95"/>
        <v>682.2771577348742</v>
      </c>
      <c r="X202" s="22"/>
      <c r="Y202" s="7">
        <v>700</v>
      </c>
      <c r="Z202" s="20">
        <v>418</v>
      </c>
      <c r="AA202" s="4">
        <v>255</v>
      </c>
      <c r="AB202" s="4" t="s">
        <v>293</v>
      </c>
      <c r="AC202" s="14">
        <f t="shared" si="96"/>
        <v>167.5596696999507</v>
      </c>
      <c r="AD202" s="56">
        <v>587.3840307218873</v>
      </c>
      <c r="AE202" s="17">
        <f t="shared" si="61"/>
        <v>1.1615521056920197</v>
      </c>
    </row>
    <row r="203" spans="1:31" ht="15">
      <c r="A203" s="43" t="s">
        <v>638</v>
      </c>
      <c r="B203" s="31" t="s">
        <v>36</v>
      </c>
      <c r="C203" s="7">
        <v>572624</v>
      </c>
      <c r="D203" s="7">
        <v>1925</v>
      </c>
      <c r="E203" s="7">
        <v>30</v>
      </c>
      <c r="F203" s="8">
        <f t="shared" si="88"/>
        <v>148.7335064935065</v>
      </c>
      <c r="G203" s="37">
        <v>389340</v>
      </c>
      <c r="H203" s="7">
        <v>1925</v>
      </c>
      <c r="I203" s="7">
        <v>21</v>
      </c>
      <c r="J203" s="8">
        <f t="shared" si="89"/>
        <v>70.7890909090909</v>
      </c>
      <c r="K203" s="7">
        <f>'[2]Лист1'!$O$436+450</f>
        <v>5130</v>
      </c>
      <c r="L203" s="7">
        <v>846720</v>
      </c>
      <c r="M203" s="7">
        <v>20</v>
      </c>
      <c r="N203" s="8">
        <f t="shared" si="90"/>
        <v>0.1211734693877551</v>
      </c>
      <c r="O203" s="8">
        <f t="shared" si="91"/>
        <v>219.64377087198514</v>
      </c>
      <c r="P203" s="8">
        <f t="shared" si="92"/>
        <v>66.33241880333951</v>
      </c>
      <c r="Q203" s="58">
        <f t="shared" si="93"/>
        <v>224.03664628942485</v>
      </c>
      <c r="R203" s="78">
        <f>0.83*2+13.64</f>
        <v>15.3</v>
      </c>
      <c r="S203" s="79">
        <v>15.3</v>
      </c>
      <c r="T203" s="21">
        <f t="shared" si="77"/>
        <v>17.595</v>
      </c>
      <c r="U203" s="9">
        <f t="shared" si="70"/>
        <v>527.7290094341373</v>
      </c>
      <c r="V203" s="8">
        <f t="shared" si="94"/>
        <v>131.93225235853433</v>
      </c>
      <c r="W203" s="52">
        <f t="shared" si="95"/>
        <v>659.6612617926717</v>
      </c>
      <c r="X203" s="22"/>
      <c r="Y203" s="7">
        <v>600</v>
      </c>
      <c r="Z203" s="20">
        <v>411</v>
      </c>
      <c r="AA203" s="4">
        <v>269</v>
      </c>
      <c r="AB203" s="4" t="s">
        <v>293</v>
      </c>
      <c r="AC203" s="14">
        <f t="shared" si="96"/>
        <v>145.2272348671642</v>
      </c>
      <c r="AD203" s="56">
        <v>566.2900990653989</v>
      </c>
      <c r="AE203" s="17">
        <f aca="true" t="shared" si="97" ref="AE203:AE266">W203/AD203</f>
        <v>1.1648822094565523</v>
      </c>
    </row>
    <row r="204" spans="1:31" s="6" customFormat="1" ht="16.5" customHeight="1">
      <c r="A204" s="43"/>
      <c r="B204" s="85" t="s">
        <v>139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7"/>
      <c r="S204" s="87"/>
      <c r="T204" s="86"/>
      <c r="U204" s="86"/>
      <c r="V204" s="86"/>
      <c r="W204" s="88"/>
      <c r="X204" s="23"/>
      <c r="Y204" s="21"/>
      <c r="Z204" s="20"/>
      <c r="AA204" s="4"/>
      <c r="AB204" s="4"/>
      <c r="AC204" s="14"/>
      <c r="AD204" s="66"/>
      <c r="AE204" s="17"/>
    </row>
    <row r="205" spans="1:31" ht="26.25" customHeight="1">
      <c r="A205" s="43" t="s">
        <v>639</v>
      </c>
      <c r="B205" s="31" t="s">
        <v>170</v>
      </c>
      <c r="C205" s="7">
        <v>572624</v>
      </c>
      <c r="D205" s="7">
        <v>1925</v>
      </c>
      <c r="E205" s="7">
        <v>0</v>
      </c>
      <c r="F205" s="8">
        <f aca="true" t="shared" si="98" ref="F205:F219">C205/D205/60*E205</f>
        <v>0</v>
      </c>
      <c r="G205" s="37">
        <v>389340</v>
      </c>
      <c r="H205" s="7">
        <v>1925</v>
      </c>
      <c r="I205" s="7">
        <v>26</v>
      </c>
      <c r="J205" s="8">
        <f aca="true" t="shared" si="99" ref="J205:J219">G205/H205/60*I205</f>
        <v>87.64363636363636</v>
      </c>
      <c r="K205" s="7">
        <v>0</v>
      </c>
      <c r="L205" s="7">
        <v>1</v>
      </c>
      <c r="M205" s="7">
        <v>0</v>
      </c>
      <c r="N205" s="8">
        <f t="shared" si="67"/>
        <v>0</v>
      </c>
      <c r="O205" s="8">
        <f aca="true" t="shared" si="100" ref="O205:O239">F205+J205+N205</f>
        <v>87.64363636363636</v>
      </c>
      <c r="P205" s="8">
        <f>O205*0.302</f>
        <v>26.46837818181818</v>
      </c>
      <c r="Q205" s="58">
        <f>(O205)*102%</f>
        <v>89.39650909090909</v>
      </c>
      <c r="R205" s="78">
        <f aca="true" t="shared" si="101" ref="R205:R210">13.64*8+1.99*8</f>
        <v>125.04</v>
      </c>
      <c r="S205" s="79">
        <v>125.04</v>
      </c>
      <c r="T205" s="21">
        <f t="shared" si="77"/>
        <v>143.796</v>
      </c>
      <c r="U205" s="9">
        <f t="shared" si="70"/>
        <v>347.3045236363636</v>
      </c>
      <c r="V205" s="8">
        <f aca="true" t="shared" si="102" ref="V205:V219">U205*25%</f>
        <v>86.8261309090909</v>
      </c>
      <c r="W205" s="52">
        <f aca="true" t="shared" si="103" ref="W205:W239">U205+V205</f>
        <v>434.13065454545455</v>
      </c>
      <c r="X205" s="22"/>
      <c r="Y205" s="7">
        <v>350</v>
      </c>
      <c r="Z205" s="20">
        <v>218</v>
      </c>
      <c r="AA205" s="4">
        <v>173</v>
      </c>
      <c r="AB205" s="4">
        <v>200</v>
      </c>
      <c r="AC205" s="14">
        <f>(100*W205)/AA205-100</f>
        <v>150.9425748817656</v>
      </c>
      <c r="AD205" s="56">
        <v>369.37395740259745</v>
      </c>
      <c r="AE205" s="17">
        <f t="shared" si="97"/>
        <v>1.1753147341469876</v>
      </c>
    </row>
    <row r="206" spans="1:31" ht="27.75" customHeight="1">
      <c r="A206" s="43" t="s">
        <v>640</v>
      </c>
      <c r="B206" s="31" t="s">
        <v>415</v>
      </c>
      <c r="C206" s="7">
        <v>572624</v>
      </c>
      <c r="D206" s="7">
        <v>1925</v>
      </c>
      <c r="E206" s="7">
        <v>23</v>
      </c>
      <c r="F206" s="8">
        <f>C206/D206/60*E206</f>
        <v>114.02902164502166</v>
      </c>
      <c r="G206" s="37">
        <v>389340</v>
      </c>
      <c r="H206" s="7">
        <v>1925</v>
      </c>
      <c r="I206" s="7">
        <v>20</v>
      </c>
      <c r="J206" s="8">
        <f>G206/H206/60*I206</f>
        <v>67.41818181818181</v>
      </c>
      <c r="K206" s="7">
        <v>0</v>
      </c>
      <c r="L206" s="7">
        <v>1</v>
      </c>
      <c r="M206" s="7">
        <v>0</v>
      </c>
      <c r="N206" s="8">
        <f>K206/L206*M206</f>
        <v>0</v>
      </c>
      <c r="O206" s="8">
        <f>F206+J206+N206</f>
        <v>181.44720346320346</v>
      </c>
      <c r="P206" s="8">
        <f>O206*0.302</f>
        <v>54.797055445887445</v>
      </c>
      <c r="Q206" s="58">
        <f aca="true" t="shared" si="104" ref="Q206:Q239">(O206)*102%</f>
        <v>185.07614753246753</v>
      </c>
      <c r="R206" s="78">
        <f t="shared" si="101"/>
        <v>125.04</v>
      </c>
      <c r="S206" s="76">
        <v>125.04</v>
      </c>
      <c r="T206" s="21">
        <f t="shared" si="77"/>
        <v>143.796</v>
      </c>
      <c r="U206" s="9">
        <f t="shared" si="70"/>
        <v>565.1164064415584</v>
      </c>
      <c r="V206" s="8">
        <f>U206*25%</f>
        <v>141.2791016103896</v>
      </c>
      <c r="W206" s="52">
        <f>U206+V206</f>
        <v>706.395508051948</v>
      </c>
      <c r="X206" s="22"/>
      <c r="Y206" s="7">
        <v>500</v>
      </c>
      <c r="Z206" s="20">
        <v>218</v>
      </c>
      <c r="AA206" s="4">
        <v>173</v>
      </c>
      <c r="AB206" s="4">
        <v>200</v>
      </c>
      <c r="AC206" s="14">
        <f>(100*W206)/AA206-100</f>
        <v>308.32110292020116</v>
      </c>
      <c r="AD206" s="56">
        <v>598.196502857143</v>
      </c>
      <c r="AE206" s="17">
        <f t="shared" si="97"/>
        <v>1.1808753556365146</v>
      </c>
    </row>
    <row r="207" spans="1:31" ht="30">
      <c r="A207" s="43" t="s">
        <v>641</v>
      </c>
      <c r="B207" s="31" t="s">
        <v>171</v>
      </c>
      <c r="C207" s="7">
        <v>572624</v>
      </c>
      <c r="D207" s="7">
        <v>1925</v>
      </c>
      <c r="E207" s="7">
        <v>10</v>
      </c>
      <c r="F207" s="8">
        <f t="shared" si="98"/>
        <v>49.5778354978355</v>
      </c>
      <c r="G207" s="37">
        <v>389340</v>
      </c>
      <c r="H207" s="7">
        <v>1925</v>
      </c>
      <c r="I207" s="7">
        <v>20</v>
      </c>
      <c r="J207" s="8">
        <f t="shared" si="99"/>
        <v>67.41818181818181</v>
      </c>
      <c r="K207" s="7">
        <v>0</v>
      </c>
      <c r="L207" s="7">
        <v>1</v>
      </c>
      <c r="M207" s="7">
        <v>0</v>
      </c>
      <c r="N207" s="8">
        <f t="shared" si="67"/>
        <v>0</v>
      </c>
      <c r="O207" s="8">
        <f t="shared" si="100"/>
        <v>116.99601731601732</v>
      </c>
      <c r="P207" s="8">
        <f>O207*0.302</f>
        <v>35.332797229437226</v>
      </c>
      <c r="Q207" s="58">
        <f t="shared" si="104"/>
        <v>119.33593766233767</v>
      </c>
      <c r="R207" s="78">
        <f t="shared" si="101"/>
        <v>125.04</v>
      </c>
      <c r="S207" s="76">
        <v>125.04</v>
      </c>
      <c r="T207" s="21">
        <f t="shared" si="77"/>
        <v>143.796</v>
      </c>
      <c r="U207" s="9">
        <f t="shared" si="70"/>
        <v>415.4607522077922</v>
      </c>
      <c r="V207" s="8">
        <f t="shared" si="102"/>
        <v>103.86518805194805</v>
      </c>
      <c r="W207" s="52">
        <f t="shared" si="103"/>
        <v>519.3259402597403</v>
      </c>
      <c r="X207" s="22"/>
      <c r="Y207" s="7">
        <v>500</v>
      </c>
      <c r="Z207" s="20">
        <v>337</v>
      </c>
      <c r="AA207" s="4">
        <v>228</v>
      </c>
      <c r="AB207" s="4">
        <v>350</v>
      </c>
      <c r="AC207" s="14">
        <f>(100*W207)/AA207-100</f>
        <v>127.77453520164045</v>
      </c>
      <c r="AD207" s="56">
        <v>445.6481392207792</v>
      </c>
      <c r="AE207" s="17">
        <f t="shared" si="97"/>
        <v>1.1653272942366313</v>
      </c>
    </row>
    <row r="208" spans="1:31" ht="30">
      <c r="A208" s="43" t="s">
        <v>642</v>
      </c>
      <c r="B208" s="31" t="s">
        <v>172</v>
      </c>
      <c r="C208" s="7">
        <v>572624</v>
      </c>
      <c r="D208" s="7">
        <v>1925</v>
      </c>
      <c r="E208" s="7">
        <v>30</v>
      </c>
      <c r="F208" s="8">
        <f>C208/D208/60*E208</f>
        <v>148.7335064935065</v>
      </c>
      <c r="G208" s="37">
        <v>389340</v>
      </c>
      <c r="H208" s="7">
        <v>1925</v>
      </c>
      <c r="I208" s="7">
        <v>23</v>
      </c>
      <c r="J208" s="8">
        <f>G208/H208/60*I208</f>
        <v>77.53090909090909</v>
      </c>
      <c r="K208" s="7">
        <v>0</v>
      </c>
      <c r="L208" s="7">
        <v>1</v>
      </c>
      <c r="M208" s="7">
        <v>0</v>
      </c>
      <c r="N208" s="8">
        <f t="shared" si="67"/>
        <v>0</v>
      </c>
      <c r="O208" s="8">
        <f t="shared" si="100"/>
        <v>226.2644155844156</v>
      </c>
      <c r="P208" s="8">
        <f aca="true" t="shared" si="105" ref="P208:P239">O208*0.302</f>
        <v>68.3318535064935</v>
      </c>
      <c r="Q208" s="58">
        <f t="shared" si="104"/>
        <v>230.7897038961039</v>
      </c>
      <c r="R208" s="78">
        <f t="shared" si="101"/>
        <v>125.04</v>
      </c>
      <c r="S208" s="76">
        <v>125.04</v>
      </c>
      <c r="T208" s="21">
        <f t="shared" si="77"/>
        <v>143.796</v>
      </c>
      <c r="U208" s="9">
        <f t="shared" si="70"/>
        <v>669.1819729870131</v>
      </c>
      <c r="V208" s="8">
        <f>U208*25%</f>
        <v>167.29549324675327</v>
      </c>
      <c r="W208" s="52">
        <f t="shared" si="103"/>
        <v>836.4774662337663</v>
      </c>
      <c r="X208" s="22"/>
      <c r="Y208" s="7">
        <v>250</v>
      </c>
      <c r="Z208" s="20">
        <v>428</v>
      </c>
      <c r="AB208" s="4">
        <v>500</v>
      </c>
      <c r="AC208" s="14"/>
      <c r="AD208" s="56">
        <v>712.6077755844155</v>
      </c>
      <c r="AE208" s="17">
        <f t="shared" si="97"/>
        <v>1.1738259038048866</v>
      </c>
    </row>
    <row r="209" spans="1:31" ht="30">
      <c r="A209" s="43" t="s">
        <v>643</v>
      </c>
      <c r="B209" s="31" t="s">
        <v>173</v>
      </c>
      <c r="C209" s="7">
        <v>572624</v>
      </c>
      <c r="D209" s="7">
        <v>1925</v>
      </c>
      <c r="E209" s="7">
        <v>70</v>
      </c>
      <c r="F209" s="8">
        <f>C209/D209/60*E209</f>
        <v>347.0448484848485</v>
      </c>
      <c r="G209" s="37">
        <v>389340</v>
      </c>
      <c r="H209" s="7">
        <v>1925</v>
      </c>
      <c r="I209" s="7">
        <v>70</v>
      </c>
      <c r="J209" s="8">
        <f>G209/H209/60*I209</f>
        <v>235.96363636363634</v>
      </c>
      <c r="K209" s="7">
        <v>0</v>
      </c>
      <c r="L209" s="7">
        <v>1</v>
      </c>
      <c r="M209" s="7">
        <v>0</v>
      </c>
      <c r="N209" s="8">
        <f t="shared" si="67"/>
        <v>0</v>
      </c>
      <c r="O209" s="8">
        <f t="shared" si="100"/>
        <v>583.0084848484848</v>
      </c>
      <c r="P209" s="8">
        <f t="shared" si="105"/>
        <v>176.06856242424243</v>
      </c>
      <c r="Q209" s="58">
        <f t="shared" si="104"/>
        <v>594.6686545454545</v>
      </c>
      <c r="R209" s="78">
        <f t="shared" si="101"/>
        <v>125.04</v>
      </c>
      <c r="S209" s="76">
        <v>125.04</v>
      </c>
      <c r="T209" s="21">
        <f t="shared" si="77"/>
        <v>143.796</v>
      </c>
      <c r="U209" s="9">
        <f t="shared" si="70"/>
        <v>1497.5417018181818</v>
      </c>
      <c r="V209" s="8">
        <f>U209*25%</f>
        <v>374.38542545454544</v>
      </c>
      <c r="W209" s="52">
        <f t="shared" si="103"/>
        <v>1871.9271272727271</v>
      </c>
      <c r="X209" s="22"/>
      <c r="Y209" s="7">
        <v>2000</v>
      </c>
      <c r="Z209" s="20">
        <v>626</v>
      </c>
      <c r="AA209" s="4">
        <v>341</v>
      </c>
      <c r="AB209" s="4">
        <v>1300</v>
      </c>
      <c r="AC209" s="14">
        <f>(100*W209)/AA209-100</f>
        <v>448.9522367368701</v>
      </c>
      <c r="AD209" s="56">
        <v>1481.9895085714284</v>
      </c>
      <c r="AE209" s="17">
        <f t="shared" si="97"/>
        <v>1.2631176647648343</v>
      </c>
    </row>
    <row r="210" spans="1:31" ht="30">
      <c r="A210" s="43" t="s">
        <v>644</v>
      </c>
      <c r="B210" s="31" t="s">
        <v>174</v>
      </c>
      <c r="C210" s="7">
        <v>572624</v>
      </c>
      <c r="D210" s="7">
        <v>1925</v>
      </c>
      <c r="E210" s="7">
        <v>75</v>
      </c>
      <c r="F210" s="8">
        <f t="shared" si="98"/>
        <v>371.83376623376626</v>
      </c>
      <c r="G210" s="37">
        <v>389340</v>
      </c>
      <c r="H210" s="7">
        <v>1925</v>
      </c>
      <c r="I210" s="7">
        <v>66</v>
      </c>
      <c r="J210" s="8">
        <f t="shared" si="99"/>
        <v>222.48</v>
      </c>
      <c r="K210" s="7">
        <v>0</v>
      </c>
      <c r="L210" s="7">
        <v>1</v>
      </c>
      <c r="M210" s="7">
        <v>0</v>
      </c>
      <c r="N210" s="8">
        <f t="shared" si="67"/>
        <v>0</v>
      </c>
      <c r="O210" s="8">
        <f t="shared" si="100"/>
        <v>594.3137662337663</v>
      </c>
      <c r="P210" s="8">
        <f t="shared" si="105"/>
        <v>179.4827574025974</v>
      </c>
      <c r="Q210" s="58">
        <f t="shared" si="104"/>
        <v>606.2000415584416</v>
      </c>
      <c r="R210" s="78">
        <f t="shared" si="101"/>
        <v>125.04</v>
      </c>
      <c r="S210" s="76">
        <v>125.04</v>
      </c>
      <c r="T210" s="21">
        <f t="shared" si="77"/>
        <v>143.796</v>
      </c>
      <c r="U210" s="9">
        <f t="shared" si="70"/>
        <v>1523.7925651948053</v>
      </c>
      <c r="V210" s="8">
        <f t="shared" si="102"/>
        <v>380.94814129870133</v>
      </c>
      <c r="W210" s="52">
        <f t="shared" si="103"/>
        <v>1904.7407064935067</v>
      </c>
      <c r="X210" s="22"/>
      <c r="Y210" s="7">
        <v>3000</v>
      </c>
      <c r="Z210" s="20">
        <v>824</v>
      </c>
      <c r="AB210" s="4">
        <v>3000</v>
      </c>
      <c r="AC210" s="14"/>
      <c r="AD210" s="56">
        <v>1629.2883428571429</v>
      </c>
      <c r="AE210" s="17">
        <f t="shared" si="97"/>
        <v>1.1690629929588316</v>
      </c>
    </row>
    <row r="211" spans="1:31" ht="30">
      <c r="A211" s="43" t="s">
        <v>645</v>
      </c>
      <c r="B211" s="31" t="s">
        <v>175</v>
      </c>
      <c r="C211" s="7">
        <v>572624</v>
      </c>
      <c r="D211" s="7">
        <v>1925</v>
      </c>
      <c r="E211" s="7">
        <v>11</v>
      </c>
      <c r="F211" s="8">
        <f t="shared" si="98"/>
        <v>54.53561904761905</v>
      </c>
      <c r="G211" s="37">
        <v>389340</v>
      </c>
      <c r="H211" s="7">
        <v>1925</v>
      </c>
      <c r="I211" s="7">
        <v>8</v>
      </c>
      <c r="J211" s="8">
        <f t="shared" si="99"/>
        <v>26.967272727272725</v>
      </c>
      <c r="K211" s="7">
        <f>497000+480000+470625+475000+498000</f>
        <v>2420625</v>
      </c>
      <c r="L211" s="7">
        <v>846720</v>
      </c>
      <c r="M211" s="7">
        <v>10</v>
      </c>
      <c r="N211" s="8">
        <f t="shared" si="67"/>
        <v>28.58825821995465</v>
      </c>
      <c r="O211" s="8">
        <f t="shared" si="100"/>
        <v>110.09114999484643</v>
      </c>
      <c r="P211" s="8">
        <f t="shared" si="105"/>
        <v>33.24752729844362</v>
      </c>
      <c r="Q211" s="58">
        <f t="shared" si="104"/>
        <v>112.29297299474337</v>
      </c>
      <c r="R211" s="78">
        <v>1.99</v>
      </c>
      <c r="S211" s="76">
        <v>1.99</v>
      </c>
      <c r="T211" s="21">
        <f t="shared" si="77"/>
        <v>2.2885</v>
      </c>
      <c r="U211" s="9">
        <f t="shared" si="70"/>
        <v>286.50840850798807</v>
      </c>
      <c r="V211" s="8">
        <f t="shared" si="102"/>
        <v>71.62710212699702</v>
      </c>
      <c r="W211" s="52">
        <f t="shared" si="103"/>
        <v>358.13551063498505</v>
      </c>
      <c r="X211" s="22"/>
      <c r="Y211" s="7">
        <v>300</v>
      </c>
      <c r="Z211" s="20">
        <v>235</v>
      </c>
      <c r="AA211" s="4">
        <v>194</v>
      </c>
      <c r="AB211" s="4">
        <v>250</v>
      </c>
      <c r="AC211" s="14">
        <f>(100*W211)/AA211-100</f>
        <v>84.60593331700261</v>
      </c>
      <c r="AD211" s="56">
        <v>306.63616745316693</v>
      </c>
      <c r="AE211" s="17">
        <f t="shared" si="97"/>
        <v>1.1679493440371274</v>
      </c>
    </row>
    <row r="212" spans="1:31" ht="30">
      <c r="A212" s="43" t="s">
        <v>646</v>
      </c>
      <c r="B212" s="31" t="s">
        <v>176</v>
      </c>
      <c r="C212" s="7">
        <v>572624</v>
      </c>
      <c r="D212" s="7">
        <v>1925</v>
      </c>
      <c r="E212" s="7">
        <v>16</v>
      </c>
      <c r="F212" s="8">
        <f>C212/D212/60*E212</f>
        <v>79.3245367965368</v>
      </c>
      <c r="G212" s="37">
        <v>389340</v>
      </c>
      <c r="H212" s="7">
        <v>1925</v>
      </c>
      <c r="I212" s="7">
        <v>15</v>
      </c>
      <c r="J212" s="8">
        <f>G212/H212/60*I212</f>
        <v>50.56363636363636</v>
      </c>
      <c r="K212" s="7">
        <f>497000+480000+470625+475000+498000</f>
        <v>2420625</v>
      </c>
      <c r="L212" s="7">
        <v>846720</v>
      </c>
      <c r="M212" s="7">
        <v>18</v>
      </c>
      <c r="N212" s="8">
        <f t="shared" si="67"/>
        <v>51.45886479591837</v>
      </c>
      <c r="O212" s="8">
        <f t="shared" si="100"/>
        <v>181.34703795609153</v>
      </c>
      <c r="P212" s="8">
        <f t="shared" si="105"/>
        <v>54.76680546273964</v>
      </c>
      <c r="Q212" s="58">
        <f t="shared" si="104"/>
        <v>184.97397871521335</v>
      </c>
      <c r="R212" s="78">
        <v>1.99</v>
      </c>
      <c r="S212" s="76">
        <v>1.99</v>
      </c>
      <c r="T212" s="21">
        <f t="shared" si="77"/>
        <v>2.2885</v>
      </c>
      <c r="U212" s="9">
        <f t="shared" si="70"/>
        <v>474.8351869299629</v>
      </c>
      <c r="V212" s="8">
        <f>U212*25%</f>
        <v>118.70879673249073</v>
      </c>
      <c r="W212" s="52">
        <f t="shared" si="103"/>
        <v>593.5439836624537</v>
      </c>
      <c r="X212" s="22"/>
      <c r="Y212" s="7">
        <v>500</v>
      </c>
      <c r="Z212" s="20">
        <v>488</v>
      </c>
      <c r="AB212" s="4">
        <v>500</v>
      </c>
      <c r="AC212" s="14"/>
      <c r="AD212" s="56">
        <v>510.76810463647973</v>
      </c>
      <c r="AE212" s="17">
        <f t="shared" si="97"/>
        <v>1.1620615662461669</v>
      </c>
    </row>
    <row r="213" spans="1:31" ht="30.75" customHeight="1">
      <c r="A213" s="43" t="s">
        <v>647</v>
      </c>
      <c r="B213" s="31" t="s">
        <v>412</v>
      </c>
      <c r="C213" s="7">
        <v>572624</v>
      </c>
      <c r="D213" s="7">
        <v>1925</v>
      </c>
      <c r="E213" s="7">
        <v>7</v>
      </c>
      <c r="F213" s="8">
        <f t="shared" si="98"/>
        <v>34.70448484848485</v>
      </c>
      <c r="G213" s="37">
        <v>389340</v>
      </c>
      <c r="H213" s="7">
        <v>1925</v>
      </c>
      <c r="I213" s="7">
        <v>25</v>
      </c>
      <c r="J213" s="8">
        <f t="shared" si="99"/>
        <v>84.27272727272727</v>
      </c>
      <c r="K213" s="7">
        <f>'[3]Лист1'!$O$1843+119220+40000</f>
        <v>194823</v>
      </c>
      <c r="L213" s="7">
        <v>846720</v>
      </c>
      <c r="M213" s="7">
        <v>15</v>
      </c>
      <c r="N213" s="8">
        <f t="shared" si="67"/>
        <v>3.4513711734693877</v>
      </c>
      <c r="O213" s="8">
        <f t="shared" si="100"/>
        <v>122.4285832946815</v>
      </c>
      <c r="P213" s="8">
        <f t="shared" si="105"/>
        <v>36.973432154993816</v>
      </c>
      <c r="Q213" s="58">
        <f t="shared" si="104"/>
        <v>124.87715496057514</v>
      </c>
      <c r="R213" s="78">
        <f>13.64+1.99</f>
        <v>15.63</v>
      </c>
      <c r="S213" s="76">
        <v>15.63</v>
      </c>
      <c r="T213" s="21">
        <f t="shared" si="77"/>
        <v>17.9745</v>
      </c>
      <c r="U213" s="9">
        <f t="shared" si="70"/>
        <v>305.70504158371983</v>
      </c>
      <c r="V213" s="8">
        <f t="shared" si="102"/>
        <v>76.42626039592996</v>
      </c>
      <c r="W213" s="52">
        <f t="shared" si="103"/>
        <v>382.1313019796498</v>
      </c>
      <c r="X213" s="22"/>
      <c r="Y213" s="7">
        <v>300</v>
      </c>
      <c r="Z213" s="20">
        <v>235</v>
      </c>
      <c r="AA213" s="4">
        <v>195</v>
      </c>
      <c r="AB213" s="4">
        <v>250</v>
      </c>
      <c r="AC213" s="14">
        <f>(100*W213)/AA213-100</f>
        <v>95.96477024597425</v>
      </c>
      <c r="AD213" s="56">
        <v>323.21745801861084</v>
      </c>
      <c r="AE213" s="17">
        <f t="shared" si="97"/>
        <v>1.1822730873579443</v>
      </c>
    </row>
    <row r="214" spans="1:31" ht="30" customHeight="1">
      <c r="A214" s="43" t="s">
        <v>648</v>
      </c>
      <c r="B214" s="31" t="s">
        <v>178</v>
      </c>
      <c r="C214" s="7">
        <v>572624</v>
      </c>
      <c r="D214" s="7">
        <v>1925</v>
      </c>
      <c r="E214" s="7">
        <v>26</v>
      </c>
      <c r="F214" s="8">
        <f t="shared" si="98"/>
        <v>128.9023722943723</v>
      </c>
      <c r="G214" s="37">
        <v>389340</v>
      </c>
      <c r="H214" s="7">
        <v>1925</v>
      </c>
      <c r="I214" s="7">
        <v>20</v>
      </c>
      <c r="J214" s="8">
        <f t="shared" si="99"/>
        <v>67.41818181818181</v>
      </c>
      <c r="K214" s="7">
        <f>'[3]Лист1'!$O$1843+119220+40000</f>
        <v>194823</v>
      </c>
      <c r="L214" s="7">
        <v>846720</v>
      </c>
      <c r="M214" s="7">
        <v>25</v>
      </c>
      <c r="N214" s="8">
        <f t="shared" si="67"/>
        <v>5.752285289115646</v>
      </c>
      <c r="O214" s="8">
        <f t="shared" si="100"/>
        <v>202.07283940166974</v>
      </c>
      <c r="P214" s="8">
        <f t="shared" si="105"/>
        <v>61.02599749930426</v>
      </c>
      <c r="Q214" s="58">
        <f t="shared" si="104"/>
        <v>206.11429618970314</v>
      </c>
      <c r="R214" s="78">
        <v>1.99</v>
      </c>
      <c r="S214" s="76">
        <v>1.99</v>
      </c>
      <c r="T214" s="21">
        <f t="shared" si="77"/>
        <v>2.2885</v>
      </c>
      <c r="U214" s="9">
        <f t="shared" si="70"/>
        <v>477.2539183797928</v>
      </c>
      <c r="V214" s="8">
        <f t="shared" si="102"/>
        <v>119.3134795949482</v>
      </c>
      <c r="W214" s="52">
        <f t="shared" si="103"/>
        <v>596.567397974741</v>
      </c>
      <c r="X214" s="22"/>
      <c r="Y214" s="7">
        <v>500</v>
      </c>
      <c r="Z214" s="20">
        <v>404</v>
      </c>
      <c r="AB214" s="4">
        <v>400</v>
      </c>
      <c r="AC214" s="14"/>
      <c r="AD214" s="56">
        <v>506.40745842928646</v>
      </c>
      <c r="AE214" s="17">
        <f t="shared" si="97"/>
        <v>1.1780383326602293</v>
      </c>
    </row>
    <row r="215" spans="1:31" ht="30">
      <c r="A215" s="43" t="s">
        <v>649</v>
      </c>
      <c r="B215" s="31" t="s">
        <v>177</v>
      </c>
      <c r="C215" s="7">
        <v>572624</v>
      </c>
      <c r="D215" s="7">
        <v>1925</v>
      </c>
      <c r="E215" s="7">
        <v>41</v>
      </c>
      <c r="F215" s="8">
        <f>C215/D215/60*E215</f>
        <v>203.26912554112556</v>
      </c>
      <c r="G215" s="37">
        <v>389340</v>
      </c>
      <c r="H215" s="7">
        <v>1925</v>
      </c>
      <c r="I215" s="7">
        <v>40</v>
      </c>
      <c r="J215" s="8">
        <f>G215/H215/60*I215</f>
        <v>134.83636363636361</v>
      </c>
      <c r="K215" s="7">
        <v>3600000</v>
      </c>
      <c r="L215" s="7">
        <v>846720</v>
      </c>
      <c r="M215" s="7">
        <v>43</v>
      </c>
      <c r="N215" s="8">
        <f t="shared" si="67"/>
        <v>182.82312925170066</v>
      </c>
      <c r="O215" s="8">
        <f t="shared" si="100"/>
        <v>520.9286184291898</v>
      </c>
      <c r="P215" s="8">
        <f t="shared" si="105"/>
        <v>157.3204427656153</v>
      </c>
      <c r="Q215" s="58">
        <f t="shared" si="104"/>
        <v>531.3471907977736</v>
      </c>
      <c r="R215" s="78">
        <v>1.99</v>
      </c>
      <c r="S215" s="76">
        <v>1.99</v>
      </c>
      <c r="T215" s="21">
        <f t="shared" si="77"/>
        <v>2.2885</v>
      </c>
      <c r="U215" s="9">
        <f t="shared" si="70"/>
        <v>1394.7078812442796</v>
      </c>
      <c r="V215" s="8">
        <f>U215*25%</f>
        <v>348.6769703110699</v>
      </c>
      <c r="W215" s="52">
        <f t="shared" si="103"/>
        <v>1743.3848515553495</v>
      </c>
      <c r="X215" s="22"/>
      <c r="Y215" s="7">
        <v>1500</v>
      </c>
      <c r="Z215" s="20">
        <v>573</v>
      </c>
      <c r="AA215" s="4">
        <v>412</v>
      </c>
      <c r="AB215" s="4">
        <v>600</v>
      </c>
      <c r="AC215" s="14">
        <f>(100*W215)/AA215-100</f>
        <v>323.15166299887125</v>
      </c>
      <c r="AD215" s="56">
        <v>1498.1547156462584</v>
      </c>
      <c r="AE215" s="17">
        <f t="shared" si="97"/>
        <v>1.1636881246963244</v>
      </c>
    </row>
    <row r="216" spans="1:31" ht="30">
      <c r="A216" s="43" t="s">
        <v>650</v>
      </c>
      <c r="B216" s="31" t="s">
        <v>413</v>
      </c>
      <c r="C216" s="7">
        <v>572624</v>
      </c>
      <c r="D216" s="7">
        <v>1925</v>
      </c>
      <c r="E216" s="7">
        <v>50</v>
      </c>
      <c r="F216" s="8">
        <f>C216/D216/60*E216</f>
        <v>247.8891774891775</v>
      </c>
      <c r="G216" s="37">
        <v>389340</v>
      </c>
      <c r="H216" s="7">
        <v>1925</v>
      </c>
      <c r="I216" s="7">
        <v>40</v>
      </c>
      <c r="J216" s="8">
        <f>G216/H216/60*I216</f>
        <v>134.83636363636361</v>
      </c>
      <c r="K216" s="7">
        <f>2100000+'[3]Лист1'!$O$1843</f>
        <v>2135603</v>
      </c>
      <c r="L216" s="7">
        <v>846720</v>
      </c>
      <c r="M216" s="7">
        <v>55</v>
      </c>
      <c r="N216" s="8">
        <f t="shared" si="67"/>
        <v>138.721377787226</v>
      </c>
      <c r="O216" s="8">
        <f t="shared" si="100"/>
        <v>521.4469189127672</v>
      </c>
      <c r="P216" s="8">
        <f t="shared" si="105"/>
        <v>157.47696951165568</v>
      </c>
      <c r="Q216" s="58">
        <f t="shared" si="104"/>
        <v>531.8758572910225</v>
      </c>
      <c r="R216" s="78">
        <f>13.64+1.99</f>
        <v>15.63</v>
      </c>
      <c r="S216" s="76">
        <v>15.63</v>
      </c>
      <c r="T216" s="21">
        <f t="shared" si="77"/>
        <v>17.9745</v>
      </c>
      <c r="U216" s="9">
        <f t="shared" si="70"/>
        <v>1367.4956235026714</v>
      </c>
      <c r="V216" s="8">
        <f>U216*25%</f>
        <v>341.87390587566784</v>
      </c>
      <c r="W216" s="52">
        <f t="shared" si="103"/>
        <v>1709.3695293783392</v>
      </c>
      <c r="X216" s="22"/>
      <c r="Y216" s="7">
        <v>1500</v>
      </c>
      <c r="Z216" s="20">
        <v>658</v>
      </c>
      <c r="AA216" s="4">
        <v>267</v>
      </c>
      <c r="AB216" s="4">
        <v>700</v>
      </c>
      <c r="AC216" s="14">
        <f>(100*W216)/AA216-100</f>
        <v>540.213306883273</v>
      </c>
      <c r="AD216" s="56">
        <v>1479.3710269757416</v>
      </c>
      <c r="AE216" s="17">
        <f t="shared" si="97"/>
        <v>1.155470465629424</v>
      </c>
    </row>
    <row r="217" spans="1:31" ht="30">
      <c r="A217" s="43" t="s">
        <v>651</v>
      </c>
      <c r="B217" s="31" t="s">
        <v>414</v>
      </c>
      <c r="C217" s="7">
        <v>572624</v>
      </c>
      <c r="D217" s="7">
        <v>1925</v>
      </c>
      <c r="E217" s="7">
        <v>40</v>
      </c>
      <c r="F217" s="8">
        <f>C217/D217/60*E217</f>
        <v>198.311341991342</v>
      </c>
      <c r="G217" s="37">
        <v>389340</v>
      </c>
      <c r="H217" s="7">
        <v>1925</v>
      </c>
      <c r="I217" s="7">
        <v>30</v>
      </c>
      <c r="J217" s="8">
        <f>G217/H217/60*I217</f>
        <v>101.12727272727273</v>
      </c>
      <c r="K217" s="7">
        <v>223000</v>
      </c>
      <c r="L217" s="7">
        <v>846720</v>
      </c>
      <c r="M217" s="7">
        <v>40</v>
      </c>
      <c r="N217" s="8">
        <f t="shared" si="67"/>
        <v>10.534769463340892</v>
      </c>
      <c r="O217" s="8">
        <f t="shared" si="100"/>
        <v>309.9733841819556</v>
      </c>
      <c r="P217" s="8">
        <f t="shared" si="105"/>
        <v>93.61196202295059</v>
      </c>
      <c r="Q217" s="58">
        <f t="shared" si="104"/>
        <v>316.17285186559474</v>
      </c>
      <c r="R217" s="78">
        <f>0.83*2</f>
        <v>1.66</v>
      </c>
      <c r="S217" s="76">
        <v>1.66</v>
      </c>
      <c r="T217" s="21">
        <f t="shared" si="77"/>
        <v>1.9089999999999998</v>
      </c>
      <c r="U217" s="9">
        <f t="shared" si="70"/>
        <v>732.2019675338419</v>
      </c>
      <c r="V217" s="8">
        <f>U217*25%</f>
        <v>183.05049188346047</v>
      </c>
      <c r="W217" s="52">
        <f t="shared" si="103"/>
        <v>915.2524594173024</v>
      </c>
      <c r="X217" s="22"/>
      <c r="Y217" s="7">
        <v>800</v>
      </c>
      <c r="Z217" s="20">
        <v>488</v>
      </c>
      <c r="AA217" s="4">
        <v>382</v>
      </c>
      <c r="AB217" s="4">
        <v>500</v>
      </c>
      <c r="AC217" s="14">
        <f>(100*W217)/AA217-100</f>
        <v>139.59488466421527</v>
      </c>
      <c r="AD217" s="56">
        <v>782.3148016250944</v>
      </c>
      <c r="AE217" s="17">
        <f t="shared" si="97"/>
        <v>1.1699285984568588</v>
      </c>
    </row>
    <row r="218" spans="1:31" ht="30">
      <c r="A218" s="43" t="s">
        <v>652</v>
      </c>
      <c r="B218" s="31" t="s">
        <v>195</v>
      </c>
      <c r="C218" s="7">
        <v>572624</v>
      </c>
      <c r="D218" s="7">
        <v>1925</v>
      </c>
      <c r="E218" s="7">
        <v>15</v>
      </c>
      <c r="F218" s="8">
        <f t="shared" si="98"/>
        <v>74.36675324675325</v>
      </c>
      <c r="G218" s="37">
        <v>389340</v>
      </c>
      <c r="H218" s="7">
        <v>1925</v>
      </c>
      <c r="I218" s="7">
        <v>11</v>
      </c>
      <c r="J218" s="8">
        <f t="shared" si="99"/>
        <v>37.08</v>
      </c>
      <c r="K218" s="7">
        <v>3600000</v>
      </c>
      <c r="L218" s="7">
        <v>846720</v>
      </c>
      <c r="M218" s="7">
        <v>15</v>
      </c>
      <c r="N218" s="8">
        <f t="shared" si="67"/>
        <v>63.77551020408163</v>
      </c>
      <c r="O218" s="8">
        <f t="shared" si="100"/>
        <v>175.22226345083487</v>
      </c>
      <c r="P218" s="8">
        <f t="shared" si="105"/>
        <v>52.91712356215213</v>
      </c>
      <c r="Q218" s="58">
        <f t="shared" si="104"/>
        <v>178.7267087198516</v>
      </c>
      <c r="R218" s="78">
        <f>0.83*2+1.99*3</f>
        <v>7.63</v>
      </c>
      <c r="S218" s="76">
        <v>7.63</v>
      </c>
      <c r="T218" s="21">
        <f t="shared" si="77"/>
        <v>8.7745</v>
      </c>
      <c r="U218" s="9">
        <f t="shared" si="70"/>
        <v>479.4161059369202</v>
      </c>
      <c r="V218" s="8">
        <f t="shared" si="102"/>
        <v>119.85402648423005</v>
      </c>
      <c r="W218" s="52">
        <f t="shared" si="103"/>
        <v>599.2701324211503</v>
      </c>
      <c r="X218" s="22"/>
      <c r="Y218" s="7">
        <v>500</v>
      </c>
      <c r="Z218" s="20">
        <v>369</v>
      </c>
      <c r="AA218" s="4">
        <v>332</v>
      </c>
      <c r="AB218" s="4">
        <v>350</v>
      </c>
      <c r="AC218" s="14">
        <f>(100*W218)/AA218-100</f>
        <v>80.50305193408141</v>
      </c>
      <c r="AD218" s="56">
        <v>518.1958120964749</v>
      </c>
      <c r="AE218" s="17">
        <f t="shared" si="97"/>
        <v>1.156454989469466</v>
      </c>
    </row>
    <row r="219" spans="1:31" ht="45">
      <c r="A219" s="43" t="s">
        <v>653</v>
      </c>
      <c r="B219" s="31" t="s">
        <v>196</v>
      </c>
      <c r="C219" s="7">
        <v>572624</v>
      </c>
      <c r="D219" s="7">
        <v>1925</v>
      </c>
      <c r="E219" s="7">
        <v>25</v>
      </c>
      <c r="F219" s="8">
        <f t="shared" si="98"/>
        <v>123.94458874458876</v>
      </c>
      <c r="G219" s="37">
        <v>389340</v>
      </c>
      <c r="H219" s="7">
        <v>1925</v>
      </c>
      <c r="I219" s="7">
        <v>22</v>
      </c>
      <c r="J219" s="8">
        <f t="shared" si="99"/>
        <v>74.16</v>
      </c>
      <c r="K219" s="7">
        <v>3600000</v>
      </c>
      <c r="L219" s="7">
        <v>846720</v>
      </c>
      <c r="M219" s="7">
        <v>20</v>
      </c>
      <c r="N219" s="8">
        <f t="shared" si="67"/>
        <v>85.03401360544217</v>
      </c>
      <c r="O219" s="8">
        <f t="shared" si="100"/>
        <v>283.1386023500309</v>
      </c>
      <c r="P219" s="8">
        <f t="shared" si="105"/>
        <v>85.50785790970933</v>
      </c>
      <c r="Q219" s="58">
        <f t="shared" si="104"/>
        <v>288.8013743970315</v>
      </c>
      <c r="R219" s="78">
        <f>0.83*2+1.99*3</f>
        <v>7.63</v>
      </c>
      <c r="S219" s="76">
        <v>7.63</v>
      </c>
      <c r="T219" s="21">
        <f t="shared" si="77"/>
        <v>8.7745</v>
      </c>
      <c r="U219" s="9">
        <f t="shared" si="70"/>
        <v>751.2563482622139</v>
      </c>
      <c r="V219" s="8">
        <f t="shared" si="102"/>
        <v>187.81408706555348</v>
      </c>
      <c r="W219" s="52">
        <f t="shared" si="103"/>
        <v>939.0704353277674</v>
      </c>
      <c r="X219" s="22"/>
      <c r="Y219" s="7">
        <v>800</v>
      </c>
      <c r="Z219" s="20">
        <v>488</v>
      </c>
      <c r="AA219" s="4">
        <v>233</v>
      </c>
      <c r="AB219" s="4">
        <v>500</v>
      </c>
      <c r="AC219" s="14">
        <f>(100*W219)/AA219-100</f>
        <v>303.0345215999002</v>
      </c>
      <c r="AD219" s="56">
        <v>804.5377443537415</v>
      </c>
      <c r="AE219" s="17">
        <f t="shared" si="97"/>
        <v>1.1672173765844778</v>
      </c>
    </row>
    <row r="220" spans="1:31" ht="15">
      <c r="A220" s="43" t="s">
        <v>654</v>
      </c>
      <c r="B220" s="31" t="s">
        <v>417</v>
      </c>
      <c r="C220" s="7">
        <v>572624</v>
      </c>
      <c r="D220" s="7">
        <v>1925</v>
      </c>
      <c r="E220" s="7">
        <v>16</v>
      </c>
      <c r="F220" s="8">
        <f aca="true" t="shared" si="106" ref="F220:F225">C220/D220/60*E220</f>
        <v>79.3245367965368</v>
      </c>
      <c r="G220" s="37">
        <v>389340</v>
      </c>
      <c r="H220" s="7">
        <v>1925</v>
      </c>
      <c r="I220" s="7">
        <v>10</v>
      </c>
      <c r="J220" s="8">
        <f aca="true" t="shared" si="107" ref="J220:J225">G220/H220/60*I220</f>
        <v>33.709090909090904</v>
      </c>
      <c r="K220" s="7">
        <v>4788</v>
      </c>
      <c r="L220" s="7">
        <v>846720</v>
      </c>
      <c r="M220" s="7">
        <v>15</v>
      </c>
      <c r="N220" s="8">
        <f t="shared" si="67"/>
        <v>0.08482142857142858</v>
      </c>
      <c r="O220" s="8">
        <f t="shared" si="100"/>
        <v>113.11844913419914</v>
      </c>
      <c r="P220" s="8">
        <f t="shared" si="105"/>
        <v>34.16177163852814</v>
      </c>
      <c r="Q220" s="58">
        <f t="shared" si="104"/>
        <v>115.38081811688312</v>
      </c>
      <c r="R220" s="78">
        <f aca="true" t="shared" si="108" ref="R220:R239">13.64+0.37*6</f>
        <v>15.86</v>
      </c>
      <c r="S220" s="76">
        <v>15.86</v>
      </c>
      <c r="T220" s="21">
        <f t="shared" si="77"/>
        <v>18.238999999999997</v>
      </c>
      <c r="U220" s="9">
        <f t="shared" si="70"/>
        <v>280.9848603181818</v>
      </c>
      <c r="V220" s="8">
        <f aca="true" t="shared" si="109" ref="V220:V225">U220*25%</f>
        <v>70.24621507954545</v>
      </c>
      <c r="W220" s="52">
        <f t="shared" si="103"/>
        <v>351.23107539772724</v>
      </c>
      <c r="X220" s="22"/>
      <c r="Y220" s="7">
        <v>300</v>
      </c>
      <c r="Z220" s="20">
        <v>206</v>
      </c>
      <c r="AB220" s="4">
        <v>200</v>
      </c>
      <c r="AC220" s="14"/>
      <c r="AD220" s="56">
        <v>300.569959060065</v>
      </c>
      <c r="AE220" s="17">
        <f t="shared" si="97"/>
        <v>1.1685501654792396</v>
      </c>
    </row>
    <row r="221" spans="1:31" ht="15">
      <c r="A221" s="43" t="s">
        <v>655</v>
      </c>
      <c r="B221" s="31" t="s">
        <v>418</v>
      </c>
      <c r="C221" s="7">
        <v>572624</v>
      </c>
      <c r="D221" s="7">
        <v>1925</v>
      </c>
      <c r="E221" s="7">
        <v>22</v>
      </c>
      <c r="F221" s="8">
        <f t="shared" si="106"/>
        <v>109.0712380952381</v>
      </c>
      <c r="G221" s="37">
        <v>389340</v>
      </c>
      <c r="H221" s="7">
        <v>1925</v>
      </c>
      <c r="I221" s="7">
        <v>20</v>
      </c>
      <c r="J221" s="8">
        <f t="shared" si="107"/>
        <v>67.41818181818181</v>
      </c>
      <c r="K221" s="7">
        <v>4788</v>
      </c>
      <c r="L221" s="7">
        <v>846720</v>
      </c>
      <c r="M221" s="7">
        <v>18</v>
      </c>
      <c r="N221" s="8">
        <f>K221/L221*M221</f>
        <v>0.10178571428571428</v>
      </c>
      <c r="O221" s="8">
        <f>F221+J221+N221</f>
        <v>176.59120562770562</v>
      </c>
      <c r="P221" s="8">
        <f>O221*0.302</f>
        <v>53.33054409956709</v>
      </c>
      <c r="Q221" s="58">
        <f t="shared" si="104"/>
        <v>180.12302974025974</v>
      </c>
      <c r="R221" s="78">
        <f t="shared" si="108"/>
        <v>15.86</v>
      </c>
      <c r="S221" s="76">
        <v>15.86</v>
      </c>
      <c r="T221" s="21">
        <f t="shared" si="77"/>
        <v>18.238999999999997</v>
      </c>
      <c r="U221" s="9">
        <f t="shared" si="70"/>
        <v>428.3855651818181</v>
      </c>
      <c r="V221" s="8">
        <f t="shared" si="109"/>
        <v>107.09639129545452</v>
      </c>
      <c r="W221" s="52">
        <f>U221+V221</f>
        <v>535.4819564772727</v>
      </c>
      <c r="X221" s="22"/>
      <c r="Y221" s="7">
        <v>500</v>
      </c>
      <c r="Z221" s="20">
        <v>206</v>
      </c>
      <c r="AB221" s="4">
        <v>200</v>
      </c>
      <c r="AC221" s="14"/>
      <c r="AD221" s="56">
        <v>462.1441680357143</v>
      </c>
      <c r="AE221" s="17">
        <f t="shared" si="97"/>
        <v>1.1586902821975908</v>
      </c>
    </row>
    <row r="222" spans="1:31" ht="15">
      <c r="A222" s="43" t="s">
        <v>656</v>
      </c>
      <c r="B222" s="31" t="s">
        <v>419</v>
      </c>
      <c r="C222" s="7">
        <v>572624</v>
      </c>
      <c r="D222" s="7">
        <v>1925</v>
      </c>
      <c r="E222" s="7">
        <v>20</v>
      </c>
      <c r="F222" s="8">
        <f t="shared" si="106"/>
        <v>99.155670995671</v>
      </c>
      <c r="G222" s="37">
        <v>389340</v>
      </c>
      <c r="H222" s="7">
        <v>1925</v>
      </c>
      <c r="I222" s="7">
        <v>15</v>
      </c>
      <c r="J222" s="8">
        <f t="shared" si="107"/>
        <v>50.56363636363636</v>
      </c>
      <c r="K222" s="7">
        <v>4788</v>
      </c>
      <c r="L222" s="7">
        <v>846720</v>
      </c>
      <c r="M222" s="7">
        <v>18</v>
      </c>
      <c r="N222" s="8">
        <f t="shared" si="67"/>
        <v>0.10178571428571428</v>
      </c>
      <c r="O222" s="8">
        <f t="shared" si="100"/>
        <v>149.8210930735931</v>
      </c>
      <c r="P222" s="8">
        <f t="shared" si="105"/>
        <v>45.24597010822511</v>
      </c>
      <c r="Q222" s="58">
        <f t="shared" si="104"/>
        <v>152.81751493506496</v>
      </c>
      <c r="R222" s="78">
        <f t="shared" si="108"/>
        <v>15.86</v>
      </c>
      <c r="S222" s="76">
        <v>15.86</v>
      </c>
      <c r="T222" s="21">
        <f t="shared" si="77"/>
        <v>18.238999999999997</v>
      </c>
      <c r="U222" s="9">
        <f aca="true" t="shared" si="110" ref="U222:U286">N222+O222+P222+Q222+T222</f>
        <v>366.22536383116886</v>
      </c>
      <c r="V222" s="8">
        <f t="shared" si="109"/>
        <v>91.55634095779222</v>
      </c>
      <c r="W222" s="52">
        <f t="shared" si="103"/>
        <v>457.78170478896106</v>
      </c>
      <c r="X222" s="22"/>
      <c r="Y222" s="7">
        <v>400</v>
      </c>
      <c r="Z222" s="20">
        <v>206</v>
      </c>
      <c r="AB222" s="4">
        <v>200</v>
      </c>
      <c r="AC222" s="14"/>
      <c r="AD222" s="56">
        <v>388.49475089285716</v>
      </c>
      <c r="AE222" s="17">
        <f t="shared" si="97"/>
        <v>1.1783472073608854</v>
      </c>
    </row>
    <row r="223" spans="1:31" ht="15">
      <c r="A223" s="43" t="s">
        <v>657</v>
      </c>
      <c r="B223" s="31" t="s">
        <v>416</v>
      </c>
      <c r="C223" s="7">
        <v>572624</v>
      </c>
      <c r="D223" s="7">
        <v>1925</v>
      </c>
      <c r="E223" s="7">
        <v>20</v>
      </c>
      <c r="F223" s="8">
        <f t="shared" si="106"/>
        <v>99.155670995671</v>
      </c>
      <c r="G223" s="37">
        <v>389340</v>
      </c>
      <c r="H223" s="7">
        <v>1925</v>
      </c>
      <c r="I223" s="7">
        <v>15</v>
      </c>
      <c r="J223" s="8">
        <f t="shared" si="107"/>
        <v>50.56363636363636</v>
      </c>
      <c r="K223" s="7">
        <v>4788</v>
      </c>
      <c r="L223" s="7">
        <v>846720</v>
      </c>
      <c r="M223" s="7">
        <v>18</v>
      </c>
      <c r="N223" s="8">
        <f>K223/L223*M223</f>
        <v>0.10178571428571428</v>
      </c>
      <c r="O223" s="8">
        <f>F223+J223+N223</f>
        <v>149.8210930735931</v>
      </c>
      <c r="P223" s="8">
        <f>O223*0.302</f>
        <v>45.24597010822511</v>
      </c>
      <c r="Q223" s="58">
        <f t="shared" si="104"/>
        <v>152.81751493506496</v>
      </c>
      <c r="R223" s="78">
        <f t="shared" si="108"/>
        <v>15.86</v>
      </c>
      <c r="S223" s="76">
        <v>15.86</v>
      </c>
      <c r="T223" s="21">
        <f t="shared" si="77"/>
        <v>18.238999999999997</v>
      </c>
      <c r="U223" s="9">
        <f t="shared" si="110"/>
        <v>366.22536383116886</v>
      </c>
      <c r="V223" s="8">
        <f t="shared" si="109"/>
        <v>91.55634095779222</v>
      </c>
      <c r="W223" s="52">
        <f>U223+V223</f>
        <v>457.78170478896106</v>
      </c>
      <c r="X223" s="22"/>
      <c r="Y223" s="7">
        <v>400</v>
      </c>
      <c r="Z223" s="20">
        <v>206</v>
      </c>
      <c r="AB223" s="4">
        <v>200</v>
      </c>
      <c r="AC223" s="14"/>
      <c r="AD223" s="56">
        <v>388.49475089285716</v>
      </c>
      <c r="AE223" s="17">
        <f t="shared" si="97"/>
        <v>1.1783472073608854</v>
      </c>
    </row>
    <row r="224" spans="1:31" ht="15">
      <c r="A224" s="43" t="s">
        <v>658</v>
      </c>
      <c r="B224" s="31" t="s">
        <v>179</v>
      </c>
      <c r="C224" s="7">
        <v>572624</v>
      </c>
      <c r="D224" s="7">
        <v>1925</v>
      </c>
      <c r="E224" s="7">
        <v>16</v>
      </c>
      <c r="F224" s="8">
        <f t="shared" si="106"/>
        <v>79.3245367965368</v>
      </c>
      <c r="G224" s="37">
        <v>389340</v>
      </c>
      <c r="H224" s="7">
        <v>1925</v>
      </c>
      <c r="I224" s="7">
        <v>10</v>
      </c>
      <c r="J224" s="8">
        <f t="shared" si="107"/>
        <v>33.709090909090904</v>
      </c>
      <c r="K224" s="7">
        <v>45600</v>
      </c>
      <c r="L224" s="7">
        <v>846720</v>
      </c>
      <c r="M224" s="7">
        <v>15</v>
      </c>
      <c r="N224" s="8">
        <f t="shared" si="67"/>
        <v>0.8078231292517007</v>
      </c>
      <c r="O224" s="8">
        <f t="shared" si="100"/>
        <v>113.84145083487941</v>
      </c>
      <c r="P224" s="8">
        <f t="shared" si="105"/>
        <v>34.38011815213358</v>
      </c>
      <c r="Q224" s="58">
        <f t="shared" si="104"/>
        <v>116.118279851577</v>
      </c>
      <c r="R224" s="78">
        <f t="shared" si="108"/>
        <v>15.86</v>
      </c>
      <c r="S224" s="76">
        <v>15.86</v>
      </c>
      <c r="T224" s="21">
        <f t="shared" si="77"/>
        <v>18.238999999999997</v>
      </c>
      <c r="U224" s="9">
        <f t="shared" si="110"/>
        <v>283.38667196784166</v>
      </c>
      <c r="V224" s="8">
        <f t="shared" si="109"/>
        <v>70.84666799196042</v>
      </c>
      <c r="W224" s="52">
        <f t="shared" si="103"/>
        <v>354.2333399598021</v>
      </c>
      <c r="X224" s="22"/>
      <c r="Y224" s="7">
        <v>300</v>
      </c>
      <c r="Z224" s="20">
        <v>206</v>
      </c>
      <c r="AB224" s="4">
        <v>200</v>
      </c>
      <c r="AC224" s="14"/>
      <c r="AD224" s="56">
        <v>303.5722236221398</v>
      </c>
      <c r="AE224" s="17">
        <f t="shared" si="97"/>
        <v>1.1668832402819596</v>
      </c>
    </row>
    <row r="225" spans="1:31" ht="15">
      <c r="A225" s="43" t="s">
        <v>659</v>
      </c>
      <c r="B225" s="31" t="s">
        <v>180</v>
      </c>
      <c r="C225" s="7">
        <v>572624</v>
      </c>
      <c r="D225" s="7">
        <v>1925</v>
      </c>
      <c r="E225" s="7">
        <v>15</v>
      </c>
      <c r="F225" s="8">
        <f t="shared" si="106"/>
        <v>74.36675324675325</v>
      </c>
      <c r="G225" s="37">
        <v>389340</v>
      </c>
      <c r="H225" s="7">
        <v>1925</v>
      </c>
      <c r="I225" s="7">
        <v>13</v>
      </c>
      <c r="J225" s="8">
        <f t="shared" si="107"/>
        <v>43.82181818181818</v>
      </c>
      <c r="K225" s="7">
        <v>4788</v>
      </c>
      <c r="L225" s="7">
        <v>846720</v>
      </c>
      <c r="M225" s="7">
        <v>18</v>
      </c>
      <c r="N225" s="8">
        <f aca="true" t="shared" si="111" ref="N225:N285">K225/L225*M225</f>
        <v>0.10178571428571428</v>
      </c>
      <c r="O225" s="8">
        <f t="shared" si="100"/>
        <v>118.29035714285715</v>
      </c>
      <c r="P225" s="8">
        <f t="shared" si="105"/>
        <v>35.723687857142856</v>
      </c>
      <c r="Q225" s="58">
        <f t="shared" si="104"/>
        <v>120.6561642857143</v>
      </c>
      <c r="R225" s="78">
        <f t="shared" si="108"/>
        <v>15.86</v>
      </c>
      <c r="S225" s="76">
        <v>15.86</v>
      </c>
      <c r="T225" s="21">
        <f t="shared" si="77"/>
        <v>18.238999999999997</v>
      </c>
      <c r="U225" s="9">
        <f t="shared" si="110"/>
        <v>293.010995</v>
      </c>
      <c r="V225" s="8">
        <f t="shared" si="109"/>
        <v>73.25274875</v>
      </c>
      <c r="W225" s="52">
        <f t="shared" si="103"/>
        <v>366.26374375</v>
      </c>
      <c r="X225" s="22"/>
      <c r="Y225" s="7">
        <v>350</v>
      </c>
      <c r="Z225" s="20">
        <v>307</v>
      </c>
      <c r="AB225" s="4">
        <v>300</v>
      </c>
      <c r="AC225" s="14"/>
      <c r="AD225" s="56">
        <v>314.84533375000007</v>
      </c>
      <c r="AE225" s="17">
        <f t="shared" si="97"/>
        <v>1.1633132350655329</v>
      </c>
    </row>
    <row r="226" spans="1:31" ht="15">
      <c r="A226" s="43" t="s">
        <v>660</v>
      </c>
      <c r="B226" s="31" t="s">
        <v>181</v>
      </c>
      <c r="C226" s="7">
        <v>572624</v>
      </c>
      <c r="D226" s="7">
        <v>1925</v>
      </c>
      <c r="E226" s="7">
        <v>25</v>
      </c>
      <c r="F226" s="8">
        <f aca="true" t="shared" si="112" ref="F226:F237">C226/D226/60*E226</f>
        <v>123.94458874458876</v>
      </c>
      <c r="G226" s="37">
        <v>389340</v>
      </c>
      <c r="H226" s="7">
        <v>1925</v>
      </c>
      <c r="I226" s="7">
        <v>20</v>
      </c>
      <c r="J226" s="8">
        <f aca="true" t="shared" si="113" ref="J226:J237">G226/H226/60*I226</f>
        <v>67.41818181818181</v>
      </c>
      <c r="K226" s="7">
        <v>4788</v>
      </c>
      <c r="L226" s="7">
        <v>846720</v>
      </c>
      <c r="M226" s="7">
        <v>30</v>
      </c>
      <c r="N226" s="8">
        <f t="shared" si="111"/>
        <v>0.16964285714285715</v>
      </c>
      <c r="O226" s="8">
        <f t="shared" si="100"/>
        <v>191.5324134199134</v>
      </c>
      <c r="P226" s="8">
        <f t="shared" si="105"/>
        <v>57.84278885281385</v>
      </c>
      <c r="Q226" s="58">
        <f t="shared" si="104"/>
        <v>195.3630616883117</v>
      </c>
      <c r="R226" s="78">
        <f t="shared" si="108"/>
        <v>15.86</v>
      </c>
      <c r="S226" s="76">
        <v>15.86</v>
      </c>
      <c r="T226" s="21">
        <f t="shared" si="77"/>
        <v>18.238999999999997</v>
      </c>
      <c r="U226" s="9">
        <f t="shared" si="110"/>
        <v>463.1469068181818</v>
      </c>
      <c r="V226" s="8">
        <f aca="true" t="shared" si="114" ref="V226:V237">U226*25%</f>
        <v>115.78672670454544</v>
      </c>
      <c r="W226" s="52">
        <f t="shared" si="103"/>
        <v>578.9336335227272</v>
      </c>
      <c r="X226" s="22"/>
      <c r="Y226" s="7">
        <v>500</v>
      </c>
      <c r="Z226" s="20">
        <v>307</v>
      </c>
      <c r="AB226" s="4">
        <v>300</v>
      </c>
      <c r="AC226" s="14"/>
      <c r="AD226" s="56">
        <v>500.56303573051946</v>
      </c>
      <c r="AE226" s="17">
        <f t="shared" si="97"/>
        <v>1.156564892327365</v>
      </c>
    </row>
    <row r="227" spans="1:31" ht="15">
      <c r="A227" s="43" t="s">
        <v>661</v>
      </c>
      <c r="B227" s="31" t="s">
        <v>182</v>
      </c>
      <c r="C227" s="7">
        <v>572624</v>
      </c>
      <c r="D227" s="7">
        <v>1925</v>
      </c>
      <c r="E227" s="7">
        <v>30</v>
      </c>
      <c r="F227" s="8">
        <f t="shared" si="112"/>
        <v>148.7335064935065</v>
      </c>
      <c r="G227" s="37">
        <v>389340</v>
      </c>
      <c r="H227" s="7">
        <v>1925</v>
      </c>
      <c r="I227" s="7">
        <v>26</v>
      </c>
      <c r="J227" s="8">
        <f t="shared" si="113"/>
        <v>87.64363636363636</v>
      </c>
      <c r="K227" s="7">
        <v>4788</v>
      </c>
      <c r="L227" s="7">
        <v>846720</v>
      </c>
      <c r="M227" s="7">
        <v>35</v>
      </c>
      <c r="N227" s="8">
        <f t="shared" si="111"/>
        <v>0.19791666666666666</v>
      </c>
      <c r="O227" s="8">
        <f t="shared" si="100"/>
        <v>236.57505952380953</v>
      </c>
      <c r="P227" s="8">
        <f t="shared" si="105"/>
        <v>71.44566797619048</v>
      </c>
      <c r="Q227" s="58">
        <f t="shared" si="104"/>
        <v>241.30656071428572</v>
      </c>
      <c r="R227" s="78">
        <f t="shared" si="108"/>
        <v>15.86</v>
      </c>
      <c r="S227" s="76">
        <v>15.86</v>
      </c>
      <c r="T227" s="21">
        <f t="shared" si="77"/>
        <v>18.238999999999997</v>
      </c>
      <c r="U227" s="9">
        <f t="shared" si="110"/>
        <v>567.7642048809524</v>
      </c>
      <c r="V227" s="8">
        <f t="shared" si="114"/>
        <v>141.9410512202381</v>
      </c>
      <c r="W227" s="52">
        <f t="shared" si="103"/>
        <v>709.7052561011906</v>
      </c>
      <c r="X227" s="22"/>
      <c r="Y227" s="7">
        <v>800</v>
      </c>
      <c r="Z227" s="20">
        <v>254</v>
      </c>
      <c r="AB227" s="4">
        <v>250</v>
      </c>
      <c r="AC227" s="14"/>
      <c r="AD227" s="56">
        <v>609.8421861011905</v>
      </c>
      <c r="AE227" s="17">
        <f t="shared" si="97"/>
        <v>1.163752315395626</v>
      </c>
    </row>
    <row r="228" spans="1:31" ht="15">
      <c r="A228" s="43" t="s">
        <v>662</v>
      </c>
      <c r="B228" s="31" t="s">
        <v>183</v>
      </c>
      <c r="C228" s="7">
        <v>572624</v>
      </c>
      <c r="D228" s="7">
        <v>1925</v>
      </c>
      <c r="E228" s="7">
        <v>22</v>
      </c>
      <c r="F228" s="8">
        <f t="shared" si="112"/>
        <v>109.0712380952381</v>
      </c>
      <c r="G228" s="37">
        <v>389340</v>
      </c>
      <c r="H228" s="7">
        <v>1925</v>
      </c>
      <c r="I228" s="7">
        <v>20</v>
      </c>
      <c r="J228" s="8">
        <f t="shared" si="113"/>
        <v>67.41818181818181</v>
      </c>
      <c r="K228" s="7">
        <v>4788</v>
      </c>
      <c r="L228" s="7">
        <v>846720</v>
      </c>
      <c r="M228" s="7">
        <v>25</v>
      </c>
      <c r="N228" s="8">
        <f t="shared" si="111"/>
        <v>0.14136904761904762</v>
      </c>
      <c r="O228" s="8">
        <f t="shared" si="100"/>
        <v>176.63078896103895</v>
      </c>
      <c r="P228" s="8">
        <f t="shared" si="105"/>
        <v>53.34249826623376</v>
      </c>
      <c r="Q228" s="58">
        <f t="shared" si="104"/>
        <v>180.16340474025972</v>
      </c>
      <c r="R228" s="78">
        <f t="shared" si="108"/>
        <v>15.86</v>
      </c>
      <c r="S228" s="76">
        <v>15.86</v>
      </c>
      <c r="T228" s="21">
        <f t="shared" si="77"/>
        <v>18.238999999999997</v>
      </c>
      <c r="U228" s="9">
        <f t="shared" si="110"/>
        <v>428.51706101515146</v>
      </c>
      <c r="V228" s="8">
        <f t="shared" si="114"/>
        <v>107.12926525378786</v>
      </c>
      <c r="W228" s="52">
        <f t="shared" si="103"/>
        <v>535.6463262689393</v>
      </c>
      <c r="X228" s="22"/>
      <c r="Y228" s="7">
        <v>450</v>
      </c>
      <c r="Z228" s="20">
        <v>274</v>
      </c>
      <c r="AB228" s="4">
        <v>275</v>
      </c>
      <c r="AC228" s="14"/>
      <c r="AD228" s="56">
        <v>462.308537827381</v>
      </c>
      <c r="AE228" s="17">
        <f t="shared" si="97"/>
        <v>1.1586338612438551</v>
      </c>
    </row>
    <row r="229" spans="1:31" ht="15">
      <c r="A229" s="43" t="s">
        <v>663</v>
      </c>
      <c r="B229" s="31" t="s">
        <v>184</v>
      </c>
      <c r="C229" s="7">
        <v>572624</v>
      </c>
      <c r="D229" s="7">
        <v>1925</v>
      </c>
      <c r="E229" s="7">
        <v>20</v>
      </c>
      <c r="F229" s="8">
        <f t="shared" si="112"/>
        <v>99.155670995671</v>
      </c>
      <c r="G229" s="37">
        <v>389340</v>
      </c>
      <c r="H229" s="7">
        <v>1925</v>
      </c>
      <c r="I229" s="7">
        <v>15</v>
      </c>
      <c r="J229" s="8">
        <f t="shared" si="113"/>
        <v>50.56363636363636</v>
      </c>
      <c r="K229" s="7">
        <v>4788</v>
      </c>
      <c r="L229" s="7">
        <v>846720</v>
      </c>
      <c r="M229" s="7">
        <v>20</v>
      </c>
      <c r="N229" s="8">
        <f t="shared" si="111"/>
        <v>0.1130952380952381</v>
      </c>
      <c r="O229" s="8">
        <f t="shared" si="100"/>
        <v>149.83240259740262</v>
      </c>
      <c r="P229" s="8">
        <f t="shared" si="105"/>
        <v>45.24938558441559</v>
      </c>
      <c r="Q229" s="58">
        <f t="shared" si="104"/>
        <v>152.82905064935068</v>
      </c>
      <c r="R229" s="78">
        <f t="shared" si="108"/>
        <v>15.86</v>
      </c>
      <c r="S229" s="76">
        <v>15.86</v>
      </c>
      <c r="T229" s="21">
        <f t="shared" si="77"/>
        <v>18.238999999999997</v>
      </c>
      <c r="U229" s="9">
        <f t="shared" si="110"/>
        <v>366.2629340692641</v>
      </c>
      <c r="V229" s="8">
        <f t="shared" si="114"/>
        <v>91.56573351731602</v>
      </c>
      <c r="W229" s="52">
        <f t="shared" si="103"/>
        <v>457.8286675865801</v>
      </c>
      <c r="X229" s="22"/>
      <c r="Y229" s="7">
        <v>400</v>
      </c>
      <c r="Z229" s="20">
        <v>274</v>
      </c>
      <c r="AB229" s="4">
        <v>270</v>
      </c>
      <c r="AC229" s="14"/>
      <c r="AD229" s="56">
        <v>388.5417136904762</v>
      </c>
      <c r="AE229" s="17">
        <f t="shared" si="97"/>
        <v>1.1783256506437811</v>
      </c>
    </row>
    <row r="230" spans="1:31" ht="15">
      <c r="A230" s="43" t="s">
        <v>664</v>
      </c>
      <c r="B230" s="31" t="s">
        <v>185</v>
      </c>
      <c r="C230" s="7">
        <v>572624</v>
      </c>
      <c r="D230" s="7">
        <v>1925</v>
      </c>
      <c r="E230" s="7">
        <v>15</v>
      </c>
      <c r="F230" s="8">
        <f t="shared" si="112"/>
        <v>74.36675324675325</v>
      </c>
      <c r="G230" s="37">
        <v>389340</v>
      </c>
      <c r="H230" s="7">
        <v>1925</v>
      </c>
      <c r="I230" s="7">
        <v>13</v>
      </c>
      <c r="J230" s="8">
        <f t="shared" si="113"/>
        <v>43.82181818181818</v>
      </c>
      <c r="K230" s="7">
        <v>4788</v>
      </c>
      <c r="L230" s="7">
        <v>846720</v>
      </c>
      <c r="M230" s="7">
        <v>10</v>
      </c>
      <c r="N230" s="8">
        <f t="shared" si="111"/>
        <v>0.05654761904761905</v>
      </c>
      <c r="O230" s="8">
        <f t="shared" si="100"/>
        <v>118.24511904761906</v>
      </c>
      <c r="P230" s="8">
        <f t="shared" si="105"/>
        <v>35.71002595238095</v>
      </c>
      <c r="Q230" s="58">
        <f t="shared" si="104"/>
        <v>120.61002142857144</v>
      </c>
      <c r="R230" s="78">
        <f t="shared" si="108"/>
        <v>15.86</v>
      </c>
      <c r="S230" s="76">
        <v>15.86</v>
      </c>
      <c r="T230" s="21">
        <f t="shared" si="77"/>
        <v>18.238999999999997</v>
      </c>
      <c r="U230" s="9">
        <f t="shared" si="110"/>
        <v>292.86071404761907</v>
      </c>
      <c r="V230" s="8">
        <f t="shared" si="114"/>
        <v>73.21517851190477</v>
      </c>
      <c r="W230" s="52">
        <f t="shared" si="103"/>
        <v>366.0758925595238</v>
      </c>
      <c r="X230" s="22"/>
      <c r="Y230" s="7">
        <v>300</v>
      </c>
      <c r="Z230" s="20">
        <v>206</v>
      </c>
      <c r="AB230" s="4">
        <v>200</v>
      </c>
      <c r="AC230" s="14"/>
      <c r="AD230" s="56">
        <v>314.6574825595238</v>
      </c>
      <c r="AE230" s="17">
        <f t="shared" si="97"/>
        <v>1.1634107334163686</v>
      </c>
    </row>
    <row r="231" spans="1:31" ht="15">
      <c r="A231" s="43" t="s">
        <v>665</v>
      </c>
      <c r="B231" s="31" t="s">
        <v>186</v>
      </c>
      <c r="C231" s="7">
        <v>572624</v>
      </c>
      <c r="D231" s="7">
        <v>1925</v>
      </c>
      <c r="E231" s="7">
        <v>25</v>
      </c>
      <c r="F231" s="8">
        <f t="shared" si="112"/>
        <v>123.94458874458876</v>
      </c>
      <c r="G231" s="37">
        <v>389340</v>
      </c>
      <c r="H231" s="7">
        <v>1925</v>
      </c>
      <c r="I231" s="7">
        <v>20</v>
      </c>
      <c r="J231" s="8">
        <f t="shared" si="113"/>
        <v>67.41818181818181</v>
      </c>
      <c r="K231" s="7">
        <v>4788</v>
      </c>
      <c r="L231" s="7">
        <v>846720</v>
      </c>
      <c r="M231" s="7">
        <v>25</v>
      </c>
      <c r="N231" s="8">
        <f t="shared" si="111"/>
        <v>0.14136904761904762</v>
      </c>
      <c r="O231" s="8">
        <f t="shared" si="100"/>
        <v>191.5041396103896</v>
      </c>
      <c r="P231" s="8">
        <f t="shared" si="105"/>
        <v>57.83425016233765</v>
      </c>
      <c r="Q231" s="58">
        <f t="shared" si="104"/>
        <v>195.3342224025974</v>
      </c>
      <c r="R231" s="78">
        <f t="shared" si="108"/>
        <v>15.86</v>
      </c>
      <c r="S231" s="76">
        <v>15.86</v>
      </c>
      <c r="T231" s="21">
        <f t="shared" si="77"/>
        <v>18.238999999999997</v>
      </c>
      <c r="U231" s="9">
        <f t="shared" si="110"/>
        <v>463.05298122294363</v>
      </c>
      <c r="V231" s="8">
        <f t="shared" si="114"/>
        <v>115.76324530573591</v>
      </c>
      <c r="W231" s="52">
        <f t="shared" si="103"/>
        <v>578.8162265286795</v>
      </c>
      <c r="X231" s="22"/>
      <c r="Y231" s="7">
        <v>500</v>
      </c>
      <c r="Z231" s="20">
        <v>274</v>
      </c>
      <c r="AB231" s="4">
        <v>270</v>
      </c>
      <c r="AC231" s="14"/>
      <c r="AD231" s="56">
        <v>500.4456287364718</v>
      </c>
      <c r="AE231" s="17">
        <f t="shared" si="97"/>
        <v>1.1566016232174479</v>
      </c>
    </row>
    <row r="232" spans="1:31" ht="15">
      <c r="A232" s="43" t="s">
        <v>666</v>
      </c>
      <c r="B232" s="31" t="s">
        <v>187</v>
      </c>
      <c r="C232" s="7">
        <v>572624</v>
      </c>
      <c r="D232" s="7">
        <v>1925</v>
      </c>
      <c r="E232" s="7">
        <v>35</v>
      </c>
      <c r="F232" s="8">
        <f t="shared" si="112"/>
        <v>173.52242424242425</v>
      </c>
      <c r="G232" s="37">
        <v>389340</v>
      </c>
      <c r="H232" s="7">
        <v>1925</v>
      </c>
      <c r="I232" s="7">
        <v>28</v>
      </c>
      <c r="J232" s="8">
        <f t="shared" si="113"/>
        <v>94.38545454545454</v>
      </c>
      <c r="K232" s="7">
        <v>4788</v>
      </c>
      <c r="L232" s="7">
        <v>846720</v>
      </c>
      <c r="M232" s="7">
        <v>35</v>
      </c>
      <c r="N232" s="8">
        <f t="shared" si="111"/>
        <v>0.19791666666666666</v>
      </c>
      <c r="O232" s="8">
        <f t="shared" si="100"/>
        <v>268.10579545454544</v>
      </c>
      <c r="P232" s="8">
        <f t="shared" si="105"/>
        <v>80.96795022727272</v>
      </c>
      <c r="Q232" s="58">
        <f t="shared" si="104"/>
        <v>273.46791136363635</v>
      </c>
      <c r="R232" s="78">
        <f t="shared" si="108"/>
        <v>15.86</v>
      </c>
      <c r="S232" s="76">
        <v>15.86</v>
      </c>
      <c r="T232" s="21">
        <f aca="true" t="shared" si="115" ref="T232:T250">S232*1.15</f>
        <v>18.238999999999997</v>
      </c>
      <c r="U232" s="9">
        <f t="shared" si="110"/>
        <v>640.9785737121213</v>
      </c>
      <c r="V232" s="8">
        <f t="shared" si="114"/>
        <v>160.24464342803032</v>
      </c>
      <c r="W232" s="52">
        <f t="shared" si="103"/>
        <v>801.2232171401515</v>
      </c>
      <c r="X232" s="22"/>
      <c r="Y232" s="7">
        <v>700</v>
      </c>
      <c r="Z232" s="20">
        <v>434</v>
      </c>
      <c r="AB232" s="4">
        <v>450</v>
      </c>
      <c r="AC232" s="14"/>
      <c r="AD232" s="56">
        <v>683.4916032440476</v>
      </c>
      <c r="AE232" s="17">
        <f t="shared" si="97"/>
        <v>1.1722502710162288</v>
      </c>
    </row>
    <row r="233" spans="1:31" ht="15">
      <c r="A233" s="43" t="s">
        <v>667</v>
      </c>
      <c r="B233" s="31" t="s">
        <v>188</v>
      </c>
      <c r="C233" s="7">
        <v>572624</v>
      </c>
      <c r="D233" s="7">
        <v>1925</v>
      </c>
      <c r="E233" s="7">
        <v>20</v>
      </c>
      <c r="F233" s="8">
        <f t="shared" si="112"/>
        <v>99.155670995671</v>
      </c>
      <c r="G233" s="37">
        <v>389340</v>
      </c>
      <c r="H233" s="7">
        <v>1925</v>
      </c>
      <c r="I233" s="7">
        <v>15</v>
      </c>
      <c r="J233" s="8">
        <f t="shared" si="113"/>
        <v>50.56363636363636</v>
      </c>
      <c r="K233" s="7">
        <v>45600</v>
      </c>
      <c r="L233" s="7">
        <v>846720</v>
      </c>
      <c r="M233" s="7">
        <v>20</v>
      </c>
      <c r="N233" s="8">
        <f t="shared" si="111"/>
        <v>1.0770975056689343</v>
      </c>
      <c r="O233" s="8">
        <f t="shared" si="100"/>
        <v>150.79640486497632</v>
      </c>
      <c r="P233" s="8">
        <f t="shared" si="105"/>
        <v>45.54051426922285</v>
      </c>
      <c r="Q233" s="58">
        <f t="shared" si="104"/>
        <v>153.81233296227586</v>
      </c>
      <c r="R233" s="78">
        <f t="shared" si="108"/>
        <v>15.86</v>
      </c>
      <c r="S233" s="76">
        <v>15.86</v>
      </c>
      <c r="T233" s="21">
        <f t="shared" si="115"/>
        <v>18.238999999999997</v>
      </c>
      <c r="U233" s="9">
        <f t="shared" si="110"/>
        <v>369.46534960214393</v>
      </c>
      <c r="V233" s="8">
        <f t="shared" si="114"/>
        <v>92.36633740053598</v>
      </c>
      <c r="W233" s="52">
        <f t="shared" si="103"/>
        <v>461.8316870026799</v>
      </c>
      <c r="X233" s="22"/>
      <c r="Y233" s="7">
        <v>400</v>
      </c>
      <c r="Z233" s="20">
        <v>341</v>
      </c>
      <c r="AB233" s="4">
        <v>350</v>
      </c>
      <c r="AC233" s="14"/>
      <c r="AD233" s="56">
        <v>392.544733106576</v>
      </c>
      <c r="AE233" s="17">
        <f t="shared" si="97"/>
        <v>1.176507154605721</v>
      </c>
    </row>
    <row r="234" spans="1:31" ht="15">
      <c r="A234" s="43" t="s">
        <v>668</v>
      </c>
      <c r="B234" s="31" t="s">
        <v>189</v>
      </c>
      <c r="C234" s="7">
        <v>572624</v>
      </c>
      <c r="D234" s="7">
        <v>1925</v>
      </c>
      <c r="E234" s="7">
        <v>16</v>
      </c>
      <c r="F234" s="8">
        <f t="shared" si="112"/>
        <v>79.3245367965368</v>
      </c>
      <c r="G234" s="37">
        <v>389340</v>
      </c>
      <c r="H234" s="7">
        <v>1925</v>
      </c>
      <c r="I234" s="7">
        <v>12</v>
      </c>
      <c r="J234" s="8">
        <f t="shared" si="113"/>
        <v>40.450909090909086</v>
      </c>
      <c r="K234" s="7">
        <v>45600</v>
      </c>
      <c r="L234" s="7">
        <v>846720</v>
      </c>
      <c r="M234" s="7">
        <v>15</v>
      </c>
      <c r="N234" s="8">
        <f t="shared" si="111"/>
        <v>0.8078231292517007</v>
      </c>
      <c r="O234" s="8">
        <f t="shared" si="100"/>
        <v>120.5832690166976</v>
      </c>
      <c r="P234" s="8">
        <f t="shared" si="105"/>
        <v>36.41614724304267</v>
      </c>
      <c r="Q234" s="58">
        <f t="shared" si="104"/>
        <v>122.99493439703156</v>
      </c>
      <c r="R234" s="78">
        <f t="shared" si="108"/>
        <v>15.86</v>
      </c>
      <c r="S234" s="76">
        <v>15.86</v>
      </c>
      <c r="T234" s="21">
        <f t="shared" si="115"/>
        <v>18.238999999999997</v>
      </c>
      <c r="U234" s="9">
        <f t="shared" si="110"/>
        <v>299.04117378602353</v>
      </c>
      <c r="V234" s="8">
        <f t="shared" si="114"/>
        <v>74.76029344650588</v>
      </c>
      <c r="W234" s="52">
        <f t="shared" si="103"/>
        <v>373.80146723252943</v>
      </c>
      <c r="X234" s="22"/>
      <c r="Y234" s="7">
        <v>350</v>
      </c>
      <c r="Z234" s="20">
        <v>274</v>
      </c>
      <c r="AB234" s="4">
        <v>270</v>
      </c>
      <c r="AC234" s="14"/>
      <c r="AD234" s="56">
        <v>317.77715411564634</v>
      </c>
      <c r="AE234" s="17">
        <f t="shared" si="97"/>
        <v>1.1763006320350347</v>
      </c>
    </row>
    <row r="235" spans="1:31" ht="30">
      <c r="A235" s="43" t="s">
        <v>669</v>
      </c>
      <c r="B235" s="31" t="s">
        <v>190</v>
      </c>
      <c r="C235" s="7">
        <v>572624</v>
      </c>
      <c r="D235" s="7">
        <v>1925</v>
      </c>
      <c r="E235" s="7">
        <v>35</v>
      </c>
      <c r="F235" s="8">
        <f t="shared" si="112"/>
        <v>173.52242424242425</v>
      </c>
      <c r="G235" s="37">
        <v>389340</v>
      </c>
      <c r="H235" s="7">
        <v>1925</v>
      </c>
      <c r="I235" s="7">
        <v>28</v>
      </c>
      <c r="J235" s="8">
        <f t="shared" si="113"/>
        <v>94.38545454545454</v>
      </c>
      <c r="K235" s="7">
        <v>4788</v>
      </c>
      <c r="L235" s="7">
        <v>846720</v>
      </c>
      <c r="M235" s="7">
        <v>40</v>
      </c>
      <c r="N235" s="8">
        <f t="shared" si="111"/>
        <v>0.2261904761904762</v>
      </c>
      <c r="O235" s="8">
        <f t="shared" si="100"/>
        <v>268.13406926406924</v>
      </c>
      <c r="P235" s="8">
        <f t="shared" si="105"/>
        <v>80.97648891774891</v>
      </c>
      <c r="Q235" s="58">
        <f t="shared" si="104"/>
        <v>273.49675064935064</v>
      </c>
      <c r="R235" s="78">
        <f t="shared" si="108"/>
        <v>15.86</v>
      </c>
      <c r="S235" s="76">
        <v>15.86</v>
      </c>
      <c r="T235" s="21">
        <f t="shared" si="115"/>
        <v>18.238999999999997</v>
      </c>
      <c r="U235" s="9">
        <f t="shared" si="110"/>
        <v>641.0724993073593</v>
      </c>
      <c r="V235" s="8">
        <f t="shared" si="114"/>
        <v>160.26812482683982</v>
      </c>
      <c r="W235" s="52">
        <f>U235+V235</f>
        <v>801.3406241341991</v>
      </c>
      <c r="X235" s="22"/>
      <c r="Y235" s="7">
        <v>700</v>
      </c>
      <c r="Z235" s="20">
        <v>553</v>
      </c>
      <c r="AB235" s="4">
        <v>540</v>
      </c>
      <c r="AC235" s="14"/>
      <c r="AD235" s="56">
        <v>683.6090102380954</v>
      </c>
      <c r="AE235" s="17">
        <f t="shared" si="97"/>
        <v>1.1722206877511734</v>
      </c>
    </row>
    <row r="236" spans="1:31" ht="30">
      <c r="A236" s="43" t="s">
        <v>670</v>
      </c>
      <c r="B236" s="31" t="s">
        <v>191</v>
      </c>
      <c r="C236" s="7">
        <v>572624</v>
      </c>
      <c r="D236" s="7">
        <v>1925</v>
      </c>
      <c r="E236" s="7">
        <v>15</v>
      </c>
      <c r="F236" s="8">
        <f t="shared" si="112"/>
        <v>74.36675324675325</v>
      </c>
      <c r="G236" s="37">
        <v>389340</v>
      </c>
      <c r="H236" s="7">
        <v>1925</v>
      </c>
      <c r="I236" s="7">
        <v>13</v>
      </c>
      <c r="J236" s="8">
        <f t="shared" si="113"/>
        <v>43.82181818181818</v>
      </c>
      <c r="K236" s="7">
        <v>4788</v>
      </c>
      <c r="L236" s="7">
        <v>846720</v>
      </c>
      <c r="M236" s="7">
        <v>15</v>
      </c>
      <c r="N236" s="8">
        <f t="shared" si="111"/>
        <v>0.08482142857142858</v>
      </c>
      <c r="O236" s="8">
        <f t="shared" si="100"/>
        <v>118.27339285714287</v>
      </c>
      <c r="P236" s="8">
        <f t="shared" si="105"/>
        <v>35.718564642857146</v>
      </c>
      <c r="Q236" s="58">
        <f t="shared" si="104"/>
        <v>120.63886071428573</v>
      </c>
      <c r="R236" s="78">
        <f t="shared" si="108"/>
        <v>15.86</v>
      </c>
      <c r="S236" s="76">
        <v>15.86</v>
      </c>
      <c r="T236" s="21">
        <f t="shared" si="115"/>
        <v>18.238999999999997</v>
      </c>
      <c r="U236" s="9">
        <f t="shared" si="110"/>
        <v>292.95463964285716</v>
      </c>
      <c r="V236" s="8">
        <f t="shared" si="114"/>
        <v>73.23865991071429</v>
      </c>
      <c r="W236" s="52">
        <f t="shared" si="103"/>
        <v>366.1932995535715</v>
      </c>
      <c r="X236" s="22"/>
      <c r="Y236" s="7">
        <v>300</v>
      </c>
      <c r="Z236" s="20">
        <v>240</v>
      </c>
      <c r="AB236" s="4">
        <v>230</v>
      </c>
      <c r="AC236" s="14"/>
      <c r="AD236" s="56">
        <v>314.77488955357154</v>
      </c>
      <c r="AE236" s="17">
        <f t="shared" si="97"/>
        <v>1.1633497833099835</v>
      </c>
    </row>
    <row r="237" spans="1:31" ht="30">
      <c r="A237" s="43" t="s">
        <v>671</v>
      </c>
      <c r="B237" s="31" t="s">
        <v>192</v>
      </c>
      <c r="C237" s="7">
        <v>572624</v>
      </c>
      <c r="D237" s="7">
        <v>1925</v>
      </c>
      <c r="E237" s="7">
        <v>30</v>
      </c>
      <c r="F237" s="8">
        <f t="shared" si="112"/>
        <v>148.7335064935065</v>
      </c>
      <c r="G237" s="37">
        <v>389340</v>
      </c>
      <c r="H237" s="7">
        <v>1925</v>
      </c>
      <c r="I237" s="7">
        <v>25</v>
      </c>
      <c r="J237" s="8">
        <f t="shared" si="113"/>
        <v>84.27272727272727</v>
      </c>
      <c r="K237" s="7">
        <v>4788</v>
      </c>
      <c r="L237" s="7">
        <v>846720</v>
      </c>
      <c r="M237" s="7">
        <v>30</v>
      </c>
      <c r="N237" s="8">
        <f t="shared" si="111"/>
        <v>0.16964285714285715</v>
      </c>
      <c r="O237" s="8">
        <f t="shared" si="100"/>
        <v>233.17587662337664</v>
      </c>
      <c r="P237" s="8">
        <f t="shared" si="105"/>
        <v>70.41911474025974</v>
      </c>
      <c r="Q237" s="58">
        <f t="shared" si="104"/>
        <v>237.83939415584416</v>
      </c>
      <c r="R237" s="78">
        <f t="shared" si="108"/>
        <v>15.86</v>
      </c>
      <c r="S237" s="76">
        <v>15.86</v>
      </c>
      <c r="T237" s="21">
        <f t="shared" si="115"/>
        <v>18.238999999999997</v>
      </c>
      <c r="U237" s="9">
        <f t="shared" si="110"/>
        <v>559.8430283766235</v>
      </c>
      <c r="V237" s="8">
        <f t="shared" si="114"/>
        <v>139.96075709415587</v>
      </c>
      <c r="W237" s="52">
        <f t="shared" si="103"/>
        <v>699.8037854707793</v>
      </c>
      <c r="X237" s="22"/>
      <c r="Y237" s="7">
        <v>700</v>
      </c>
      <c r="Z237" s="20">
        <v>375</v>
      </c>
      <c r="AB237" s="4">
        <v>400</v>
      </c>
      <c r="AC237" s="14"/>
      <c r="AD237" s="56">
        <v>609.724779107143</v>
      </c>
      <c r="AE237" s="17">
        <f t="shared" si="97"/>
        <v>1.1477371585513458</v>
      </c>
    </row>
    <row r="238" spans="1:31" ht="15">
      <c r="A238" s="43" t="s">
        <v>672</v>
      </c>
      <c r="B238" s="31" t="s">
        <v>193</v>
      </c>
      <c r="C238" s="7">
        <v>572624</v>
      </c>
      <c r="D238" s="7">
        <v>1925</v>
      </c>
      <c r="E238" s="7">
        <v>11</v>
      </c>
      <c r="F238" s="8">
        <f>C238/D238/60*E238</f>
        <v>54.53561904761905</v>
      </c>
      <c r="G238" s="37">
        <v>389340</v>
      </c>
      <c r="H238" s="7">
        <v>1925</v>
      </c>
      <c r="I238" s="7">
        <v>10</v>
      </c>
      <c r="J238" s="8">
        <f>G238/H238/60*I238</f>
        <v>33.709090909090904</v>
      </c>
      <c r="K238" s="7">
        <v>92250</v>
      </c>
      <c r="L238" s="7">
        <v>846720</v>
      </c>
      <c r="M238" s="7">
        <v>10</v>
      </c>
      <c r="N238" s="8">
        <f>K238/L238*M238</f>
        <v>1.089498299319728</v>
      </c>
      <c r="O238" s="8">
        <f t="shared" si="100"/>
        <v>89.33420825602968</v>
      </c>
      <c r="P238" s="8">
        <f t="shared" si="105"/>
        <v>26.978930893320964</v>
      </c>
      <c r="Q238" s="58">
        <f t="shared" si="104"/>
        <v>91.12089242115027</v>
      </c>
      <c r="R238" s="78">
        <f t="shared" si="108"/>
        <v>15.86</v>
      </c>
      <c r="S238" s="76">
        <v>15.86</v>
      </c>
      <c r="T238" s="21">
        <f t="shared" si="115"/>
        <v>18.238999999999997</v>
      </c>
      <c r="U238" s="9">
        <f t="shared" si="110"/>
        <v>226.76252986982067</v>
      </c>
      <c r="V238" s="8">
        <f>U238*25%</f>
        <v>56.69063246745517</v>
      </c>
      <c r="W238" s="52">
        <f t="shared" si="103"/>
        <v>283.45316233727584</v>
      </c>
      <c r="X238" s="22"/>
      <c r="Y238" s="7">
        <v>250</v>
      </c>
      <c r="Z238" s="20">
        <v>256</v>
      </c>
      <c r="AB238" s="4">
        <v>250</v>
      </c>
      <c r="AC238" s="14"/>
      <c r="AD238" s="56">
        <v>245.29739311649664</v>
      </c>
      <c r="AE238" s="17">
        <f t="shared" si="97"/>
        <v>1.1555490204604755</v>
      </c>
    </row>
    <row r="239" spans="1:31" ht="15">
      <c r="A239" s="43" t="s">
        <v>673</v>
      </c>
      <c r="B239" s="31" t="s">
        <v>194</v>
      </c>
      <c r="C239" s="7">
        <v>572624</v>
      </c>
      <c r="D239" s="7">
        <v>1925</v>
      </c>
      <c r="E239" s="7">
        <v>15</v>
      </c>
      <c r="F239" s="8">
        <f>C239/D239/60*E239</f>
        <v>74.36675324675325</v>
      </c>
      <c r="G239" s="37">
        <v>389340</v>
      </c>
      <c r="H239" s="7">
        <v>1925</v>
      </c>
      <c r="I239" s="7">
        <v>10</v>
      </c>
      <c r="J239" s="8">
        <f>G239/H239/60*I239</f>
        <v>33.709090909090904</v>
      </c>
      <c r="K239" s="7">
        <v>33040</v>
      </c>
      <c r="L239" s="7">
        <v>846720</v>
      </c>
      <c r="M239" s="7">
        <v>15</v>
      </c>
      <c r="N239" s="8">
        <f t="shared" si="111"/>
        <v>0.5853174603174602</v>
      </c>
      <c r="O239" s="8">
        <f t="shared" si="100"/>
        <v>108.6611616161616</v>
      </c>
      <c r="P239" s="8">
        <f t="shared" si="105"/>
        <v>32.8156708080808</v>
      </c>
      <c r="Q239" s="58">
        <f t="shared" si="104"/>
        <v>110.83438484848485</v>
      </c>
      <c r="R239" s="78">
        <f t="shared" si="108"/>
        <v>15.86</v>
      </c>
      <c r="S239" s="79">
        <v>15.86</v>
      </c>
      <c r="T239" s="23">
        <f t="shared" si="115"/>
        <v>18.238999999999997</v>
      </c>
      <c r="U239" s="9">
        <f t="shared" si="110"/>
        <v>271.13553473304466</v>
      </c>
      <c r="V239" s="8">
        <f>U239*25%</f>
        <v>67.78388368326117</v>
      </c>
      <c r="W239" s="52">
        <f t="shared" si="103"/>
        <v>338.9194184163058</v>
      </c>
      <c r="X239" s="22"/>
      <c r="Y239" s="7">
        <v>300</v>
      </c>
      <c r="Z239" s="20">
        <v>341</v>
      </c>
      <c r="AB239" s="4">
        <v>300</v>
      </c>
      <c r="AC239" s="14"/>
      <c r="AD239" s="56">
        <v>287.393432468254</v>
      </c>
      <c r="AE239" s="17">
        <f t="shared" si="97"/>
        <v>1.1792872770457046</v>
      </c>
    </row>
    <row r="240" spans="1:31" s="6" customFormat="1" ht="15">
      <c r="A240" s="43"/>
      <c r="B240" s="85" t="s">
        <v>140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7"/>
      <c r="S240" s="87"/>
      <c r="T240" s="86"/>
      <c r="U240" s="86"/>
      <c r="V240" s="86"/>
      <c r="W240" s="88"/>
      <c r="X240" s="23"/>
      <c r="Y240" s="21"/>
      <c r="Z240" s="20"/>
      <c r="AA240" s="4"/>
      <c r="AB240" s="4"/>
      <c r="AC240" s="14"/>
      <c r="AD240" s="66"/>
      <c r="AE240" s="17"/>
    </row>
    <row r="241" spans="1:31" ht="30">
      <c r="A241" s="43" t="s">
        <v>674</v>
      </c>
      <c r="B241" s="31" t="s">
        <v>197</v>
      </c>
      <c r="C241" s="7">
        <v>572624</v>
      </c>
      <c r="D241" s="7">
        <v>1925</v>
      </c>
      <c r="E241" s="7">
        <v>20</v>
      </c>
      <c r="F241" s="8">
        <f>C241/D241/60*E241</f>
        <v>99.155670995671</v>
      </c>
      <c r="G241" s="37">
        <v>389340</v>
      </c>
      <c r="H241" s="7">
        <v>1925</v>
      </c>
      <c r="I241" s="7">
        <v>15</v>
      </c>
      <c r="J241" s="8">
        <f>G241/H241/60*I241</f>
        <v>50.56363636363636</v>
      </c>
      <c r="K241" s="7">
        <f>'[3]Лист1'!$O$50</f>
        <v>52000</v>
      </c>
      <c r="L241" s="7">
        <v>846720</v>
      </c>
      <c r="M241" s="7">
        <v>25</v>
      </c>
      <c r="N241" s="8">
        <f t="shared" si="111"/>
        <v>1.535336356764928</v>
      </c>
      <c r="O241" s="8">
        <f aca="true" t="shared" si="116" ref="O241:O250">F241+J241+N241</f>
        <v>151.2546437160723</v>
      </c>
      <c r="P241" s="8">
        <f>O241*0.302</f>
        <v>45.67890240225383</v>
      </c>
      <c r="Q241" s="58">
        <f>(O241)*102%</f>
        <v>154.27973659039375</v>
      </c>
      <c r="R241" s="78">
        <f>13.64+0.37*6+0.83*2</f>
        <v>17.52</v>
      </c>
      <c r="S241" s="79">
        <v>17.52</v>
      </c>
      <c r="T241" s="21">
        <f t="shared" si="115"/>
        <v>20.148</v>
      </c>
      <c r="U241" s="9">
        <f t="shared" si="110"/>
        <v>372.89661906548486</v>
      </c>
      <c r="V241" s="8">
        <f aca="true" t="shared" si="117" ref="V241:V247">U241*25%</f>
        <v>93.22415476637121</v>
      </c>
      <c r="W241" s="52">
        <f aca="true" t="shared" si="118" ref="W241:W250">U241+V241</f>
        <v>466.12077383185607</v>
      </c>
      <c r="X241" s="22"/>
      <c r="Y241" s="7">
        <v>400</v>
      </c>
      <c r="Z241" s="20">
        <v>344</v>
      </c>
      <c r="AA241" s="4">
        <v>246</v>
      </c>
      <c r="AB241" s="4">
        <v>350</v>
      </c>
      <c r="AC241" s="14">
        <f aca="true" t="shared" si="119" ref="AC241:AC247">(100*W241)/AA241-100</f>
        <v>89.47998936254311</v>
      </c>
      <c r="AD241" s="56">
        <v>396.5225699357521</v>
      </c>
      <c r="AE241" s="17">
        <f t="shared" si="97"/>
        <v>1.1755214183832736</v>
      </c>
    </row>
    <row r="242" spans="1:31" ht="15">
      <c r="A242" s="43" t="s">
        <v>675</v>
      </c>
      <c r="B242" s="31" t="s">
        <v>198</v>
      </c>
      <c r="C242" s="7">
        <v>572624</v>
      </c>
      <c r="D242" s="7">
        <v>1925</v>
      </c>
      <c r="E242" s="7">
        <v>35</v>
      </c>
      <c r="F242" s="8">
        <f aca="true" t="shared" si="120" ref="F242:F247">C242/D242/60*E242</f>
        <v>173.52242424242425</v>
      </c>
      <c r="G242" s="37">
        <v>389340</v>
      </c>
      <c r="H242" s="7">
        <v>1925</v>
      </c>
      <c r="I242" s="7">
        <v>20</v>
      </c>
      <c r="J242" s="8">
        <f aca="true" t="shared" si="121" ref="J242:J247">G242/H242/60*I242</f>
        <v>67.41818181818181</v>
      </c>
      <c r="K242" s="7">
        <v>0</v>
      </c>
      <c r="L242" s="7">
        <v>1</v>
      </c>
      <c r="M242" s="7">
        <v>0</v>
      </c>
      <c r="N242" s="8">
        <f t="shared" si="111"/>
        <v>0</v>
      </c>
      <c r="O242" s="8">
        <f t="shared" si="116"/>
        <v>240.94060606060606</v>
      </c>
      <c r="P242" s="8">
        <f>O242*0.302</f>
        <v>72.76406303030302</v>
      </c>
      <c r="Q242" s="58">
        <f aca="true" t="shared" si="122" ref="Q242:Q250">(O242)*102%</f>
        <v>245.75941818181818</v>
      </c>
      <c r="R242" s="78">
        <f aca="true" t="shared" si="123" ref="R242:R250">13.64+0.37*6+0.83*2</f>
        <v>17.52</v>
      </c>
      <c r="S242" s="79">
        <v>17.52</v>
      </c>
      <c r="T242" s="21">
        <f t="shared" si="115"/>
        <v>20.148</v>
      </c>
      <c r="U242" s="9">
        <f t="shared" si="110"/>
        <v>579.6120872727273</v>
      </c>
      <c r="V242" s="8">
        <f t="shared" si="117"/>
        <v>144.90302181818183</v>
      </c>
      <c r="W242" s="52">
        <f t="shared" si="118"/>
        <v>724.5151090909092</v>
      </c>
      <c r="X242" s="22"/>
      <c r="Y242" s="7">
        <v>600</v>
      </c>
      <c r="Z242" s="20">
        <v>403</v>
      </c>
      <c r="AA242" s="4">
        <v>333</v>
      </c>
      <c r="AB242" s="4">
        <v>400</v>
      </c>
      <c r="AC242" s="14">
        <f t="shared" si="119"/>
        <v>117.57210483210483</v>
      </c>
      <c r="AD242" s="56">
        <v>613.7201018181818</v>
      </c>
      <c r="AE242" s="17">
        <f t="shared" si="97"/>
        <v>1.180530191115609</v>
      </c>
    </row>
    <row r="243" spans="1:31" ht="30">
      <c r="A243" s="43" t="s">
        <v>676</v>
      </c>
      <c r="B243" s="31" t="s">
        <v>352</v>
      </c>
      <c r="C243" s="7">
        <v>572624</v>
      </c>
      <c r="D243" s="7">
        <v>1925</v>
      </c>
      <c r="E243" s="7">
        <v>35</v>
      </c>
      <c r="F243" s="8">
        <f t="shared" si="120"/>
        <v>173.52242424242425</v>
      </c>
      <c r="G243" s="37">
        <v>389340</v>
      </c>
      <c r="H243" s="7">
        <v>1925</v>
      </c>
      <c r="I243" s="7">
        <v>20</v>
      </c>
      <c r="J243" s="8">
        <f t="shared" si="121"/>
        <v>67.41818181818181</v>
      </c>
      <c r="K243" s="7">
        <v>0</v>
      </c>
      <c r="L243" s="7">
        <v>1</v>
      </c>
      <c r="M243" s="7">
        <v>0</v>
      </c>
      <c r="N243" s="8">
        <f t="shared" si="111"/>
        <v>0</v>
      </c>
      <c r="O243" s="8">
        <f t="shared" si="116"/>
        <v>240.94060606060606</v>
      </c>
      <c r="P243" s="8">
        <f aca="true" t="shared" si="124" ref="P243:P250">O243*0.302</f>
        <v>72.76406303030302</v>
      </c>
      <c r="Q243" s="58">
        <f t="shared" si="122"/>
        <v>245.75941818181818</v>
      </c>
      <c r="R243" s="78">
        <f>13.64+0.37*6+0.83*2+4.96*20</f>
        <v>116.72</v>
      </c>
      <c r="S243" s="79">
        <v>116.72</v>
      </c>
      <c r="T243" s="21">
        <f t="shared" si="115"/>
        <v>134.22799999999998</v>
      </c>
      <c r="U243" s="9">
        <f t="shared" si="110"/>
        <v>693.6920872727272</v>
      </c>
      <c r="V243" s="8">
        <f>U243*25%</f>
        <v>173.4230218181818</v>
      </c>
      <c r="W243" s="52">
        <f>U243+V243</f>
        <v>867.1151090909091</v>
      </c>
      <c r="X243" s="22"/>
      <c r="Y243" s="7">
        <v>700</v>
      </c>
      <c r="Z243" s="20">
        <v>581</v>
      </c>
      <c r="AA243" s="4">
        <v>449</v>
      </c>
      <c r="AB243" s="4">
        <v>600</v>
      </c>
      <c r="AC243" s="14">
        <f t="shared" si="119"/>
        <v>93.12140514274145</v>
      </c>
      <c r="AD243" s="56">
        <v>737.7201018181819</v>
      </c>
      <c r="AE243" s="17">
        <f t="shared" si="97"/>
        <v>1.1753985108360485</v>
      </c>
    </row>
    <row r="244" spans="1:31" ht="21.75" customHeight="1">
      <c r="A244" s="43" t="s">
        <v>677</v>
      </c>
      <c r="B244" s="31" t="s">
        <v>199</v>
      </c>
      <c r="C244" s="7">
        <v>572624</v>
      </c>
      <c r="D244" s="7">
        <v>1925</v>
      </c>
      <c r="E244" s="7">
        <v>32</v>
      </c>
      <c r="F244" s="8">
        <f t="shared" si="120"/>
        <v>158.6490735930736</v>
      </c>
      <c r="G244" s="37">
        <v>389340</v>
      </c>
      <c r="H244" s="7">
        <v>1925</v>
      </c>
      <c r="I244" s="7">
        <v>20</v>
      </c>
      <c r="J244" s="8">
        <f t="shared" si="121"/>
        <v>67.41818181818181</v>
      </c>
      <c r="K244" s="7">
        <v>0</v>
      </c>
      <c r="L244" s="7">
        <v>1</v>
      </c>
      <c r="M244" s="7">
        <v>0</v>
      </c>
      <c r="N244" s="8">
        <f t="shared" si="111"/>
        <v>0</v>
      </c>
      <c r="O244" s="8">
        <f t="shared" si="116"/>
        <v>226.06725541125542</v>
      </c>
      <c r="P244" s="8">
        <f t="shared" si="124"/>
        <v>68.27231113419913</v>
      </c>
      <c r="Q244" s="58">
        <f t="shared" si="122"/>
        <v>230.58860051948054</v>
      </c>
      <c r="R244" s="78">
        <f>13.64+0.37*6+0.83*2+4.96*8</f>
        <v>57.2</v>
      </c>
      <c r="S244" s="79">
        <v>57.2</v>
      </c>
      <c r="T244" s="21">
        <f t="shared" si="115"/>
        <v>65.78</v>
      </c>
      <c r="U244" s="9">
        <f t="shared" si="110"/>
        <v>590.7081670649351</v>
      </c>
      <c r="V244" s="8">
        <f>U244*25%</f>
        <v>147.67704176623377</v>
      </c>
      <c r="W244" s="52">
        <f t="shared" si="118"/>
        <v>738.3852088311688</v>
      </c>
      <c r="X244" s="22"/>
      <c r="Y244" s="7">
        <v>600</v>
      </c>
      <c r="Z244" s="20">
        <v>403</v>
      </c>
      <c r="AA244" s="4">
        <v>285</v>
      </c>
      <c r="AB244" s="4">
        <v>400</v>
      </c>
      <c r="AC244" s="14">
        <f t="shared" si="119"/>
        <v>159.08252941444522</v>
      </c>
      <c r="AD244" s="56">
        <v>627.8077755844156</v>
      </c>
      <c r="AE244" s="17">
        <f t="shared" si="97"/>
        <v>1.1761326277678203</v>
      </c>
    </row>
    <row r="245" spans="1:31" ht="22.5" customHeight="1">
      <c r="A245" s="43" t="s">
        <v>678</v>
      </c>
      <c r="B245" s="31" t="s">
        <v>200</v>
      </c>
      <c r="C245" s="7">
        <v>572624</v>
      </c>
      <c r="D245" s="7">
        <v>1925</v>
      </c>
      <c r="E245" s="7">
        <v>35</v>
      </c>
      <c r="F245" s="8">
        <f t="shared" si="120"/>
        <v>173.52242424242425</v>
      </c>
      <c r="G245" s="37">
        <v>389340</v>
      </c>
      <c r="H245" s="7">
        <v>1925</v>
      </c>
      <c r="I245" s="7">
        <v>31</v>
      </c>
      <c r="J245" s="8">
        <f t="shared" si="121"/>
        <v>104.4981818181818</v>
      </c>
      <c r="K245" s="7">
        <v>0</v>
      </c>
      <c r="L245" s="7">
        <v>1</v>
      </c>
      <c r="M245" s="7">
        <v>0</v>
      </c>
      <c r="N245" s="8">
        <f t="shared" si="111"/>
        <v>0</v>
      </c>
      <c r="O245" s="8">
        <f t="shared" si="116"/>
        <v>278.02060606060604</v>
      </c>
      <c r="P245" s="8">
        <f t="shared" si="124"/>
        <v>83.96222303030302</v>
      </c>
      <c r="Q245" s="58">
        <f t="shared" si="122"/>
        <v>283.5810181818182</v>
      </c>
      <c r="R245" s="78">
        <f t="shared" si="123"/>
        <v>17.52</v>
      </c>
      <c r="S245" s="79">
        <v>17.52</v>
      </c>
      <c r="T245" s="21">
        <f t="shared" si="115"/>
        <v>20.148</v>
      </c>
      <c r="U245" s="9">
        <f t="shared" si="110"/>
        <v>665.7118472727273</v>
      </c>
      <c r="V245" s="8">
        <f>U245*25%</f>
        <v>166.4279618181818</v>
      </c>
      <c r="W245" s="52">
        <f t="shared" si="118"/>
        <v>832.139809090909</v>
      </c>
      <c r="X245" s="22"/>
      <c r="Y245" s="7">
        <v>700</v>
      </c>
      <c r="Z245" s="20">
        <v>522</v>
      </c>
      <c r="AA245" s="4">
        <v>340</v>
      </c>
      <c r="AB245" s="4">
        <v>500</v>
      </c>
      <c r="AC245" s="14">
        <f t="shared" si="119"/>
        <v>144.74700267379674</v>
      </c>
      <c r="AD245" s="56">
        <v>720.2570805194806</v>
      </c>
      <c r="AE245" s="17">
        <f t="shared" si="97"/>
        <v>1.1553372144439507</v>
      </c>
    </row>
    <row r="246" spans="1:31" ht="25.5" customHeight="1">
      <c r="A246" s="43" t="s">
        <v>679</v>
      </c>
      <c r="B246" s="31" t="s">
        <v>201</v>
      </c>
      <c r="C246" s="7">
        <v>572624</v>
      </c>
      <c r="D246" s="7">
        <v>1925</v>
      </c>
      <c r="E246" s="7">
        <v>40</v>
      </c>
      <c r="F246" s="8">
        <f t="shared" si="120"/>
        <v>198.311341991342</v>
      </c>
      <c r="G246" s="37">
        <v>389340</v>
      </c>
      <c r="H246" s="7">
        <v>1925</v>
      </c>
      <c r="I246" s="7">
        <v>25</v>
      </c>
      <c r="J246" s="8">
        <f t="shared" si="121"/>
        <v>84.27272727272727</v>
      </c>
      <c r="K246" s="7">
        <v>0</v>
      </c>
      <c r="L246" s="7">
        <v>1</v>
      </c>
      <c r="M246" s="7">
        <v>0</v>
      </c>
      <c r="N246" s="8">
        <f t="shared" si="111"/>
        <v>0</v>
      </c>
      <c r="O246" s="8">
        <f t="shared" si="116"/>
        <v>282.5840692640693</v>
      </c>
      <c r="P246" s="8">
        <f t="shared" si="124"/>
        <v>85.34038891774892</v>
      </c>
      <c r="Q246" s="58">
        <f t="shared" si="122"/>
        <v>288.2357506493507</v>
      </c>
      <c r="R246" s="78">
        <f t="shared" si="123"/>
        <v>17.52</v>
      </c>
      <c r="S246" s="79">
        <v>17.52</v>
      </c>
      <c r="T246" s="21">
        <f t="shared" si="115"/>
        <v>20.148</v>
      </c>
      <c r="U246" s="9">
        <f t="shared" si="110"/>
        <v>676.3082088311688</v>
      </c>
      <c r="V246" s="8">
        <f t="shared" si="117"/>
        <v>169.0770522077922</v>
      </c>
      <c r="W246" s="52">
        <f t="shared" si="118"/>
        <v>845.3852610389611</v>
      </c>
      <c r="X246" s="22"/>
      <c r="Y246" s="7">
        <v>700</v>
      </c>
      <c r="Z246" s="20">
        <v>488</v>
      </c>
      <c r="AA246" s="4">
        <v>340</v>
      </c>
      <c r="AB246" s="4">
        <v>500</v>
      </c>
      <c r="AC246" s="14">
        <f t="shared" si="119"/>
        <v>148.64272383498854</v>
      </c>
      <c r="AD246" s="56">
        <v>720.2570805194806</v>
      </c>
      <c r="AE246" s="17">
        <f t="shared" si="97"/>
        <v>1.173727109255535</v>
      </c>
    </row>
    <row r="247" spans="1:31" ht="26.25" customHeight="1">
      <c r="A247" s="43" t="s">
        <v>680</v>
      </c>
      <c r="B247" s="31" t="s">
        <v>205</v>
      </c>
      <c r="C247" s="7">
        <v>572624</v>
      </c>
      <c r="D247" s="7">
        <v>1925</v>
      </c>
      <c r="E247" s="7">
        <v>25</v>
      </c>
      <c r="F247" s="8">
        <f t="shared" si="120"/>
        <v>123.94458874458876</v>
      </c>
      <c r="G247" s="37">
        <v>389340</v>
      </c>
      <c r="H247" s="7">
        <v>1925</v>
      </c>
      <c r="I247" s="7">
        <v>25</v>
      </c>
      <c r="J247" s="8">
        <f t="shared" si="121"/>
        <v>84.27272727272727</v>
      </c>
      <c r="K247" s="7">
        <v>0</v>
      </c>
      <c r="L247" s="7">
        <v>1</v>
      </c>
      <c r="M247" s="7">
        <v>0</v>
      </c>
      <c r="N247" s="8">
        <f t="shared" si="111"/>
        <v>0</v>
      </c>
      <c r="O247" s="8">
        <f t="shared" si="116"/>
        <v>208.21731601731602</v>
      </c>
      <c r="P247" s="8">
        <f t="shared" si="124"/>
        <v>62.881629437229435</v>
      </c>
      <c r="Q247" s="58">
        <f t="shared" si="122"/>
        <v>212.38166233766233</v>
      </c>
      <c r="R247" s="78">
        <f t="shared" si="123"/>
        <v>17.52</v>
      </c>
      <c r="S247" s="79">
        <v>17.52</v>
      </c>
      <c r="T247" s="21">
        <f t="shared" si="115"/>
        <v>20.148</v>
      </c>
      <c r="U247" s="9">
        <f t="shared" si="110"/>
        <v>503.62860779220784</v>
      </c>
      <c r="V247" s="8">
        <f t="shared" si="117"/>
        <v>125.90715194805196</v>
      </c>
      <c r="W247" s="52">
        <f t="shared" si="118"/>
        <v>629.5357597402598</v>
      </c>
      <c r="X247" s="22"/>
      <c r="Y247" s="7">
        <v>700</v>
      </c>
      <c r="Z247" s="20">
        <v>437</v>
      </c>
      <c r="AA247" s="4">
        <v>401</v>
      </c>
      <c r="AB247" s="4">
        <v>450</v>
      </c>
      <c r="AC247" s="14">
        <f t="shared" si="119"/>
        <v>56.991461281860296</v>
      </c>
      <c r="AD247" s="56">
        <v>540.0706846753247</v>
      </c>
      <c r="AE247" s="17">
        <f t="shared" si="97"/>
        <v>1.1656543811829352</v>
      </c>
    </row>
    <row r="248" spans="1:31" ht="15">
      <c r="A248" s="43" t="s">
        <v>681</v>
      </c>
      <c r="B248" s="31" t="s">
        <v>203</v>
      </c>
      <c r="C248" s="7">
        <v>572624</v>
      </c>
      <c r="D248" s="7">
        <v>1925</v>
      </c>
      <c r="E248" s="7">
        <v>33</v>
      </c>
      <c r="F248" s="8">
        <f>C248/D248/60*E248</f>
        <v>163.60685714285717</v>
      </c>
      <c r="G248" s="37">
        <v>389340</v>
      </c>
      <c r="H248" s="7">
        <v>1925</v>
      </c>
      <c r="I248" s="7">
        <v>30</v>
      </c>
      <c r="J248" s="8">
        <f>G248/H248/60*I248</f>
        <v>101.12727272727273</v>
      </c>
      <c r="K248" s="7">
        <v>0</v>
      </c>
      <c r="L248" s="7">
        <v>1</v>
      </c>
      <c r="M248" s="7">
        <v>0</v>
      </c>
      <c r="N248" s="8">
        <f t="shared" si="111"/>
        <v>0</v>
      </c>
      <c r="O248" s="8">
        <f t="shared" si="116"/>
        <v>264.7341298701299</v>
      </c>
      <c r="P248" s="8">
        <f t="shared" si="124"/>
        <v>79.94970722077923</v>
      </c>
      <c r="Q248" s="58">
        <f t="shared" si="122"/>
        <v>270.0288124675325</v>
      </c>
      <c r="R248" s="78">
        <f t="shared" si="123"/>
        <v>17.52</v>
      </c>
      <c r="S248" s="79">
        <v>17.52</v>
      </c>
      <c r="T248" s="21">
        <f t="shared" si="115"/>
        <v>20.148</v>
      </c>
      <c r="U248" s="9">
        <f t="shared" si="110"/>
        <v>634.8606495584417</v>
      </c>
      <c r="V248" s="8">
        <f>U248*25%</f>
        <v>158.7151623896104</v>
      </c>
      <c r="W248" s="52">
        <f t="shared" si="118"/>
        <v>793.5758119480521</v>
      </c>
      <c r="X248" s="22"/>
      <c r="Y248" s="7">
        <v>650</v>
      </c>
      <c r="Z248" s="20">
        <v>369</v>
      </c>
      <c r="AB248" s="4">
        <v>350</v>
      </c>
      <c r="AC248" s="14"/>
      <c r="AD248" s="56">
        <v>684.7447542857142</v>
      </c>
      <c r="AE248" s="17">
        <f t="shared" si="97"/>
        <v>1.158936679662284</v>
      </c>
    </row>
    <row r="249" spans="1:31" ht="15">
      <c r="A249" s="43" t="s">
        <v>682</v>
      </c>
      <c r="B249" s="31" t="s">
        <v>202</v>
      </c>
      <c r="C249" s="7">
        <v>572624</v>
      </c>
      <c r="D249" s="7">
        <v>1925</v>
      </c>
      <c r="E249" s="7">
        <v>21</v>
      </c>
      <c r="F249" s="8">
        <f>C249/D249/60*E249</f>
        <v>104.11345454545456</v>
      </c>
      <c r="G249" s="37">
        <v>389340</v>
      </c>
      <c r="H249" s="7">
        <v>1925</v>
      </c>
      <c r="I249" s="7">
        <v>30</v>
      </c>
      <c r="J249" s="8">
        <f>G249/H249/60*I249</f>
        <v>101.12727272727273</v>
      </c>
      <c r="K249" s="7">
        <v>0</v>
      </c>
      <c r="L249" s="7">
        <v>1</v>
      </c>
      <c r="M249" s="7">
        <v>0</v>
      </c>
      <c r="N249" s="8">
        <f t="shared" si="111"/>
        <v>0</v>
      </c>
      <c r="O249" s="8">
        <f t="shared" si="116"/>
        <v>205.24072727272727</v>
      </c>
      <c r="P249" s="8">
        <f t="shared" si="124"/>
        <v>61.982699636363634</v>
      </c>
      <c r="Q249" s="58">
        <f t="shared" si="122"/>
        <v>209.34554181818183</v>
      </c>
      <c r="R249" s="78">
        <f t="shared" si="123"/>
        <v>17.52</v>
      </c>
      <c r="S249" s="79">
        <v>17.52</v>
      </c>
      <c r="T249" s="21">
        <f t="shared" si="115"/>
        <v>20.148</v>
      </c>
      <c r="U249" s="9">
        <f t="shared" si="110"/>
        <v>496.71696872727273</v>
      </c>
      <c r="V249" s="8">
        <f>U249*25%</f>
        <v>124.17924218181818</v>
      </c>
      <c r="W249" s="52">
        <f t="shared" si="118"/>
        <v>620.8962109090909</v>
      </c>
      <c r="X249" s="22"/>
      <c r="Y249" s="7">
        <v>500</v>
      </c>
      <c r="Z249" s="20">
        <v>369</v>
      </c>
      <c r="AB249" s="4">
        <v>350</v>
      </c>
      <c r="AC249" s="14"/>
      <c r="AD249" s="56">
        <v>534.8211553246754</v>
      </c>
      <c r="AE249" s="17">
        <f t="shared" si="97"/>
        <v>1.160941755440025</v>
      </c>
    </row>
    <row r="250" spans="1:31" ht="15">
      <c r="A250" s="43" t="s">
        <v>683</v>
      </c>
      <c r="B250" s="31" t="s">
        <v>204</v>
      </c>
      <c r="C250" s="7">
        <v>572624</v>
      </c>
      <c r="D250" s="7">
        <v>1925</v>
      </c>
      <c r="E250" s="7">
        <v>35</v>
      </c>
      <c r="F250" s="8">
        <f>C250/D250/60*E250</f>
        <v>173.52242424242425</v>
      </c>
      <c r="G250" s="37">
        <v>389340</v>
      </c>
      <c r="H250" s="7">
        <v>1925</v>
      </c>
      <c r="I250" s="7">
        <v>20</v>
      </c>
      <c r="J250" s="8">
        <f>G250/H250/60*I250</f>
        <v>67.41818181818181</v>
      </c>
      <c r="K250" s="7">
        <v>0</v>
      </c>
      <c r="L250" s="7">
        <v>1</v>
      </c>
      <c r="M250" s="7">
        <v>0</v>
      </c>
      <c r="N250" s="8">
        <f t="shared" si="111"/>
        <v>0</v>
      </c>
      <c r="O250" s="8">
        <f t="shared" si="116"/>
        <v>240.94060606060606</v>
      </c>
      <c r="P250" s="8">
        <f t="shared" si="124"/>
        <v>72.76406303030302</v>
      </c>
      <c r="Q250" s="58">
        <f t="shared" si="122"/>
        <v>245.75941818181818</v>
      </c>
      <c r="R250" s="78">
        <f t="shared" si="123"/>
        <v>17.52</v>
      </c>
      <c r="S250" s="79">
        <v>17.52</v>
      </c>
      <c r="T250" s="21">
        <f t="shared" si="115"/>
        <v>20.148</v>
      </c>
      <c r="U250" s="9">
        <f t="shared" si="110"/>
        <v>579.6120872727273</v>
      </c>
      <c r="V250" s="8">
        <f>U250*25%</f>
        <v>144.90302181818183</v>
      </c>
      <c r="W250" s="52">
        <f t="shared" si="118"/>
        <v>724.5151090909092</v>
      </c>
      <c r="X250" s="22"/>
      <c r="Y250" s="7">
        <v>600</v>
      </c>
      <c r="Z250" s="20">
        <v>369</v>
      </c>
      <c r="AB250" s="4">
        <v>350</v>
      </c>
      <c r="AC250" s="14"/>
      <c r="AD250" s="56">
        <v>613.7201018181818</v>
      </c>
      <c r="AE250" s="17">
        <f t="shared" si="97"/>
        <v>1.180530191115609</v>
      </c>
    </row>
    <row r="251" spans="1:29" ht="15">
      <c r="A251" s="43"/>
      <c r="B251" s="85" t="s">
        <v>141</v>
      </c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7"/>
      <c r="S251" s="87"/>
      <c r="T251" s="86"/>
      <c r="U251" s="86"/>
      <c r="V251" s="86"/>
      <c r="W251" s="88"/>
      <c r="X251" s="23"/>
      <c r="Y251" s="21"/>
      <c r="Z251" s="20"/>
      <c r="AC251" s="14"/>
    </row>
    <row r="252" spans="1:31" ht="15">
      <c r="A252" s="43" t="s">
        <v>684</v>
      </c>
      <c r="B252" s="31" t="s">
        <v>39</v>
      </c>
      <c r="C252" s="7">
        <v>572624</v>
      </c>
      <c r="D252" s="7">
        <v>1650</v>
      </c>
      <c r="E252" s="7">
        <v>18</v>
      </c>
      <c r="F252" s="8">
        <f aca="true" t="shared" si="125" ref="F252:F259">C252/D252/60*E252</f>
        <v>104.11345454545454</v>
      </c>
      <c r="G252" s="37">
        <v>389340</v>
      </c>
      <c r="H252" s="7">
        <v>1925</v>
      </c>
      <c r="I252" s="7">
        <v>15</v>
      </c>
      <c r="J252" s="8">
        <f aca="true" t="shared" si="126" ref="J252:J264">G252/H252/60*I252</f>
        <v>50.56363636363636</v>
      </c>
      <c r="K252" s="7">
        <v>0</v>
      </c>
      <c r="L252" s="7">
        <v>1</v>
      </c>
      <c r="M252" s="7">
        <v>0</v>
      </c>
      <c r="N252" s="8">
        <f t="shared" si="111"/>
        <v>0</v>
      </c>
      <c r="O252" s="8">
        <f aca="true" t="shared" si="127" ref="O252:O263">F252+J252+N252</f>
        <v>154.6770909090909</v>
      </c>
      <c r="P252" s="8">
        <f>O252*0.302</f>
        <v>46.712481454545454</v>
      </c>
      <c r="Q252" s="58">
        <f>(O252)*102%</f>
        <v>157.77063272727273</v>
      </c>
      <c r="R252" s="78">
        <f>14+13.64+12.27*10+0.33*100+1.8*2+0.22*10</f>
        <v>189.13999999999996</v>
      </c>
      <c r="S252" s="79">
        <v>189.13999999999996</v>
      </c>
      <c r="T252" s="21">
        <f>S252*1.1</f>
        <v>208.05399999999997</v>
      </c>
      <c r="U252" s="9">
        <f t="shared" si="110"/>
        <v>567.2142050909091</v>
      </c>
      <c r="V252" s="8">
        <f aca="true" t="shared" si="128" ref="V252:V298">U252*25%</f>
        <v>141.80355127272728</v>
      </c>
      <c r="W252" s="52">
        <f aca="true" t="shared" si="129" ref="W252:W261">U252+V252</f>
        <v>709.0177563636364</v>
      </c>
      <c r="X252" s="22">
        <v>600</v>
      </c>
      <c r="Y252" s="7"/>
      <c r="Z252" s="20">
        <v>553</v>
      </c>
      <c r="AA252" s="4">
        <v>359</v>
      </c>
      <c r="AB252" s="4">
        <v>550</v>
      </c>
      <c r="AC252" s="14">
        <f>(100*W252)/AA252-100</f>
        <v>97.49798227399344</v>
      </c>
      <c r="AD252" s="56">
        <v>600.9406685714284</v>
      </c>
      <c r="AE252" s="17">
        <f t="shared" si="97"/>
        <v>1.1798465197057333</v>
      </c>
    </row>
    <row r="253" spans="1:31" ht="15">
      <c r="A253" s="43" t="s">
        <v>685</v>
      </c>
      <c r="B253" s="31" t="s">
        <v>238</v>
      </c>
      <c r="C253" s="7">
        <v>572624</v>
      </c>
      <c r="D253" s="7">
        <v>1650</v>
      </c>
      <c r="E253" s="7">
        <v>16</v>
      </c>
      <c r="F253" s="8">
        <f t="shared" si="125"/>
        <v>92.54529292929293</v>
      </c>
      <c r="G253" s="37">
        <v>389340</v>
      </c>
      <c r="H253" s="7">
        <v>1925</v>
      </c>
      <c r="I253" s="7">
        <v>15</v>
      </c>
      <c r="J253" s="8">
        <f t="shared" si="126"/>
        <v>50.56363636363636</v>
      </c>
      <c r="K253" s="7">
        <v>0</v>
      </c>
      <c r="L253" s="7">
        <v>1</v>
      </c>
      <c r="M253" s="7">
        <v>0</v>
      </c>
      <c r="N253" s="8">
        <f t="shared" si="111"/>
        <v>0</v>
      </c>
      <c r="O253" s="8">
        <f t="shared" si="127"/>
        <v>143.1089292929293</v>
      </c>
      <c r="P253" s="8">
        <f>O253*0.302</f>
        <v>43.21889664646465</v>
      </c>
      <c r="Q253" s="58">
        <f aca="true" t="shared" si="130" ref="Q253:Q264">(O253)*102%</f>
        <v>145.9711078787879</v>
      </c>
      <c r="R253" s="78">
        <f>0.33*200+14*2+1.635*2+0.83*2+0.21*10+13.64*2</f>
        <v>128.31</v>
      </c>
      <c r="S253" s="79">
        <v>128.31</v>
      </c>
      <c r="T253" s="21">
        <f aca="true" t="shared" si="131" ref="T253:T316">S253*1.1</f>
        <v>141.14100000000002</v>
      </c>
      <c r="U253" s="9">
        <f t="shared" si="110"/>
        <v>473.4399338181819</v>
      </c>
      <c r="V253" s="8">
        <f t="shared" si="128"/>
        <v>118.35998345454547</v>
      </c>
      <c r="W253" s="52">
        <f t="shared" si="129"/>
        <v>591.7999172727274</v>
      </c>
      <c r="X253" s="22">
        <v>500</v>
      </c>
      <c r="Y253" s="7"/>
      <c r="Z253" s="20">
        <v>485</v>
      </c>
      <c r="AA253" s="4">
        <v>468</v>
      </c>
      <c r="AB253" s="4">
        <v>450</v>
      </c>
      <c r="AC253" s="14">
        <f aca="true" t="shared" si="132" ref="AC253:AC302">(100*W253)/AA253-100</f>
        <v>26.4529737762238</v>
      </c>
      <c r="AD253" s="56">
        <v>503.59577283116886</v>
      </c>
      <c r="AE253" s="17">
        <f t="shared" si="97"/>
        <v>1.1751486990164413</v>
      </c>
    </row>
    <row r="254" spans="1:31" ht="15">
      <c r="A254" s="43" t="s">
        <v>686</v>
      </c>
      <c r="B254" s="31" t="s">
        <v>13</v>
      </c>
      <c r="C254" s="7">
        <v>572624</v>
      </c>
      <c r="D254" s="7">
        <v>1650</v>
      </c>
      <c r="E254" s="7">
        <v>9</v>
      </c>
      <c r="F254" s="8">
        <f t="shared" si="125"/>
        <v>52.05672727272727</v>
      </c>
      <c r="G254" s="37">
        <v>389340</v>
      </c>
      <c r="H254" s="7">
        <v>1925</v>
      </c>
      <c r="I254" s="7">
        <v>7</v>
      </c>
      <c r="J254" s="8">
        <f t="shared" si="126"/>
        <v>23.596363636363634</v>
      </c>
      <c r="K254" s="7">
        <v>0</v>
      </c>
      <c r="L254" s="7">
        <v>1</v>
      </c>
      <c r="M254" s="7">
        <v>0</v>
      </c>
      <c r="N254" s="8">
        <f t="shared" si="111"/>
        <v>0</v>
      </c>
      <c r="O254" s="8">
        <f t="shared" si="127"/>
        <v>75.6530909090909</v>
      </c>
      <c r="P254" s="8">
        <f aca="true" t="shared" si="133" ref="P254:P261">O254*0.302</f>
        <v>22.847233454545453</v>
      </c>
      <c r="Q254" s="58">
        <f t="shared" si="130"/>
        <v>77.16615272727273</v>
      </c>
      <c r="R254" s="78">
        <f>14+20+0.33*400+13.64+1.635*2+0.83*2</f>
        <v>184.57</v>
      </c>
      <c r="S254" s="79">
        <v>184.57</v>
      </c>
      <c r="T254" s="21">
        <f t="shared" si="131"/>
        <v>203.02700000000002</v>
      </c>
      <c r="U254" s="9">
        <f t="shared" si="110"/>
        <v>378.69347709090914</v>
      </c>
      <c r="V254" s="8">
        <f t="shared" si="128"/>
        <v>94.67336927272729</v>
      </c>
      <c r="W254" s="52">
        <f t="shared" si="129"/>
        <v>473.36684636363645</v>
      </c>
      <c r="X254" s="22">
        <v>400</v>
      </c>
      <c r="Y254" s="7"/>
      <c r="Z254" s="20">
        <v>418</v>
      </c>
      <c r="AA254" s="4">
        <v>354</v>
      </c>
      <c r="AB254" s="4">
        <v>350</v>
      </c>
      <c r="AC254" s="14">
        <f t="shared" si="132"/>
        <v>33.71944812532104</v>
      </c>
      <c r="AD254" s="56">
        <v>399.62235246753255</v>
      </c>
      <c r="AE254" s="17">
        <f t="shared" si="97"/>
        <v>1.1845354581413092</v>
      </c>
    </row>
    <row r="255" spans="1:31" ht="15">
      <c r="A255" s="43" t="s">
        <v>687</v>
      </c>
      <c r="B255" s="31" t="s">
        <v>237</v>
      </c>
      <c r="C255" s="7">
        <v>572624</v>
      </c>
      <c r="D255" s="7">
        <v>1650</v>
      </c>
      <c r="E255" s="7">
        <v>2</v>
      </c>
      <c r="F255" s="8">
        <f t="shared" si="125"/>
        <v>11.568161616161616</v>
      </c>
      <c r="G255" s="37">
        <v>389340</v>
      </c>
      <c r="H255" s="7">
        <v>1925</v>
      </c>
      <c r="I255" s="7">
        <v>1</v>
      </c>
      <c r="J255" s="8">
        <f t="shared" si="126"/>
        <v>3.3709090909090906</v>
      </c>
      <c r="K255" s="7">
        <v>0</v>
      </c>
      <c r="L255" s="7">
        <v>1</v>
      </c>
      <c r="M255" s="7">
        <v>0</v>
      </c>
      <c r="N255" s="8">
        <f t="shared" si="111"/>
        <v>0</v>
      </c>
      <c r="O255" s="8">
        <f t="shared" si="127"/>
        <v>14.939070707070707</v>
      </c>
      <c r="P255" s="8">
        <f t="shared" si="133"/>
        <v>4.511599353535353</v>
      </c>
      <c r="Q255" s="58">
        <f t="shared" si="130"/>
        <v>15.237852121212121</v>
      </c>
      <c r="R255" s="78">
        <f>14*3+13.64+0.83*2+1.635*2+12.27*5</f>
        <v>121.91999999999999</v>
      </c>
      <c r="S255" s="79">
        <v>121.91999999999999</v>
      </c>
      <c r="T255" s="21">
        <f t="shared" si="131"/>
        <v>134.112</v>
      </c>
      <c r="U255" s="9">
        <f t="shared" si="110"/>
        <v>168.80052218181817</v>
      </c>
      <c r="V255" s="8">
        <f t="shared" si="128"/>
        <v>42.20013054545454</v>
      </c>
      <c r="W255" s="52">
        <f t="shared" si="129"/>
        <v>211.00065272727272</v>
      </c>
      <c r="X255" s="22">
        <v>186</v>
      </c>
      <c r="Y255" s="7"/>
      <c r="Z255" s="20">
        <v>186</v>
      </c>
      <c r="AA255" s="4">
        <v>158</v>
      </c>
      <c r="AB255" s="4">
        <v>160</v>
      </c>
      <c r="AC255" s="14">
        <f t="shared" si="132"/>
        <v>33.544716915995394</v>
      </c>
      <c r="AD255" s="56">
        <v>186.1984288831169</v>
      </c>
      <c r="AE255" s="17">
        <f t="shared" si="97"/>
        <v>1.133203185402413</v>
      </c>
    </row>
    <row r="256" spans="1:31" ht="15">
      <c r="A256" s="43" t="s">
        <v>688</v>
      </c>
      <c r="B256" s="31" t="s">
        <v>235</v>
      </c>
      <c r="C256" s="7">
        <v>572624</v>
      </c>
      <c r="D256" s="7">
        <v>1650</v>
      </c>
      <c r="E256" s="7">
        <v>9</v>
      </c>
      <c r="F256" s="8">
        <f>C256/D256/60*E256</f>
        <v>52.05672727272727</v>
      </c>
      <c r="G256" s="37">
        <v>389340</v>
      </c>
      <c r="H256" s="7">
        <v>1925</v>
      </c>
      <c r="I256" s="7">
        <v>3</v>
      </c>
      <c r="J256" s="8">
        <f t="shared" si="126"/>
        <v>10.112727272727271</v>
      </c>
      <c r="K256" s="7">
        <v>0</v>
      </c>
      <c r="L256" s="7">
        <v>1</v>
      </c>
      <c r="M256" s="7">
        <v>0</v>
      </c>
      <c r="N256" s="8">
        <f t="shared" si="111"/>
        <v>0</v>
      </c>
      <c r="O256" s="8">
        <f t="shared" si="127"/>
        <v>62.16945454545454</v>
      </c>
      <c r="P256" s="8">
        <f t="shared" si="133"/>
        <v>18.77517527272727</v>
      </c>
      <c r="Q256" s="58">
        <f t="shared" si="130"/>
        <v>63.41284363636363</v>
      </c>
      <c r="R256" s="78">
        <f>14+13.64+2.9*5</f>
        <v>42.14</v>
      </c>
      <c r="S256" s="79">
        <v>42.14</v>
      </c>
      <c r="T256" s="21">
        <f t="shared" si="131"/>
        <v>46.354000000000006</v>
      </c>
      <c r="U256" s="9">
        <f t="shared" si="110"/>
        <v>190.71147345454546</v>
      </c>
      <c r="V256" s="8">
        <f t="shared" si="128"/>
        <v>47.677868363636364</v>
      </c>
      <c r="W256" s="52">
        <f t="shared" si="129"/>
        <v>238.38934181818183</v>
      </c>
      <c r="X256" s="22">
        <v>200</v>
      </c>
      <c r="Y256" s="7"/>
      <c r="Z256" s="20">
        <v>195</v>
      </c>
      <c r="AA256" s="4">
        <v>134</v>
      </c>
      <c r="AB256" s="4">
        <v>140</v>
      </c>
      <c r="AC256" s="14">
        <f t="shared" si="132"/>
        <v>77.90249389416553</v>
      </c>
      <c r="AD256" s="56">
        <v>203.8698353246753</v>
      </c>
      <c r="AE256" s="17">
        <f t="shared" si="97"/>
        <v>1.1693213046379916</v>
      </c>
    </row>
    <row r="257" spans="1:31" ht="15">
      <c r="A257" s="43" t="s">
        <v>689</v>
      </c>
      <c r="B257" s="31" t="s">
        <v>236</v>
      </c>
      <c r="C257" s="7">
        <v>572624</v>
      </c>
      <c r="D257" s="7">
        <v>1650</v>
      </c>
      <c r="E257" s="7">
        <v>5</v>
      </c>
      <c r="F257" s="8">
        <f t="shared" si="125"/>
        <v>28.92040404040404</v>
      </c>
      <c r="G257" s="37">
        <v>389340</v>
      </c>
      <c r="H257" s="7">
        <v>1925</v>
      </c>
      <c r="I257" s="7">
        <v>4</v>
      </c>
      <c r="J257" s="8">
        <f t="shared" si="126"/>
        <v>13.483636363636363</v>
      </c>
      <c r="K257" s="7">
        <v>0</v>
      </c>
      <c r="L257" s="7">
        <v>1</v>
      </c>
      <c r="M257" s="7">
        <v>0</v>
      </c>
      <c r="N257" s="8">
        <f t="shared" si="111"/>
        <v>0</v>
      </c>
      <c r="O257" s="8">
        <f t="shared" si="127"/>
        <v>42.4040404040404</v>
      </c>
      <c r="P257" s="8">
        <f t="shared" si="133"/>
        <v>12.806020202020202</v>
      </c>
      <c r="Q257" s="58">
        <f t="shared" si="130"/>
        <v>43.25212121212121</v>
      </c>
      <c r="R257" s="78">
        <f>14+2.9*5+13.64</f>
        <v>42.14</v>
      </c>
      <c r="S257" s="79">
        <v>42.14</v>
      </c>
      <c r="T257" s="21">
        <f t="shared" si="131"/>
        <v>46.354000000000006</v>
      </c>
      <c r="U257" s="9">
        <f t="shared" si="110"/>
        <v>144.81618181818183</v>
      </c>
      <c r="V257" s="8">
        <f t="shared" si="128"/>
        <v>36.20404545454546</v>
      </c>
      <c r="W257" s="52">
        <f t="shared" si="129"/>
        <v>181.02022727272728</v>
      </c>
      <c r="X257" s="22">
        <v>157</v>
      </c>
      <c r="Y257" s="7"/>
      <c r="Z257" s="20">
        <v>157</v>
      </c>
      <c r="AA257" s="4">
        <v>101</v>
      </c>
      <c r="AB257" s="4">
        <v>140</v>
      </c>
      <c r="AC257" s="14">
        <f t="shared" si="132"/>
        <v>79.22794779477948</v>
      </c>
      <c r="AD257" s="56">
        <v>157.5803732987013</v>
      </c>
      <c r="AE257" s="17">
        <f t="shared" si="97"/>
        <v>1.148748562294586</v>
      </c>
    </row>
    <row r="258" spans="1:31" ht="15">
      <c r="A258" s="43" t="s">
        <v>690</v>
      </c>
      <c r="B258" s="31" t="s">
        <v>241</v>
      </c>
      <c r="C258" s="7">
        <v>572624</v>
      </c>
      <c r="D258" s="7">
        <v>1650</v>
      </c>
      <c r="E258" s="7">
        <v>15</v>
      </c>
      <c r="F258" s="8">
        <f t="shared" si="125"/>
        <v>86.76121212121213</v>
      </c>
      <c r="G258" s="37">
        <v>389340</v>
      </c>
      <c r="H258" s="7">
        <v>1925</v>
      </c>
      <c r="I258" s="7">
        <v>8</v>
      </c>
      <c r="J258" s="8">
        <f t="shared" si="126"/>
        <v>26.967272727272725</v>
      </c>
      <c r="K258" s="7">
        <v>0</v>
      </c>
      <c r="L258" s="7">
        <v>1</v>
      </c>
      <c r="M258" s="7">
        <v>0</v>
      </c>
      <c r="N258" s="8">
        <f t="shared" si="111"/>
        <v>0</v>
      </c>
      <c r="O258" s="8">
        <f t="shared" si="127"/>
        <v>113.72848484848485</v>
      </c>
      <c r="P258" s="8">
        <f t="shared" si="133"/>
        <v>34.34600242424243</v>
      </c>
      <c r="Q258" s="58">
        <f t="shared" si="130"/>
        <v>116.00305454545455</v>
      </c>
      <c r="R258" s="78">
        <f>13.64+20+14*2</f>
        <v>61.64</v>
      </c>
      <c r="S258" s="79">
        <v>61.64</v>
      </c>
      <c r="T258" s="21">
        <f t="shared" si="131"/>
        <v>67.804</v>
      </c>
      <c r="U258" s="9">
        <f t="shared" si="110"/>
        <v>331.88154181818186</v>
      </c>
      <c r="V258" s="8">
        <f t="shared" si="128"/>
        <v>82.97038545454546</v>
      </c>
      <c r="W258" s="52">
        <f t="shared" si="129"/>
        <v>414.8519272727273</v>
      </c>
      <c r="X258" s="22">
        <v>350</v>
      </c>
      <c r="Y258" s="7"/>
      <c r="Z258" s="20">
        <v>350</v>
      </c>
      <c r="AA258" s="4">
        <v>354</v>
      </c>
      <c r="AB258" s="4">
        <v>350</v>
      </c>
      <c r="AC258" s="14">
        <f t="shared" si="132"/>
        <v>17.18980996404727</v>
      </c>
      <c r="AD258" s="56">
        <v>354.45760436363634</v>
      </c>
      <c r="AE258" s="17">
        <f t="shared" si="97"/>
        <v>1.1703851805281986</v>
      </c>
    </row>
    <row r="259" spans="1:31" ht="15">
      <c r="A259" s="43" t="s">
        <v>691</v>
      </c>
      <c r="B259" s="31" t="s">
        <v>239</v>
      </c>
      <c r="C259" s="7">
        <v>572624</v>
      </c>
      <c r="D259" s="7">
        <v>1650</v>
      </c>
      <c r="E259" s="7">
        <v>30</v>
      </c>
      <c r="F259" s="8">
        <f t="shared" si="125"/>
        <v>173.52242424242425</v>
      </c>
      <c r="G259" s="37">
        <v>389340</v>
      </c>
      <c r="H259" s="7">
        <v>1925</v>
      </c>
      <c r="I259" s="7">
        <v>14</v>
      </c>
      <c r="J259" s="8">
        <f t="shared" si="126"/>
        <v>47.19272727272727</v>
      </c>
      <c r="K259" s="7">
        <v>249000</v>
      </c>
      <c r="L259" s="7">
        <v>846720</v>
      </c>
      <c r="M259" s="7">
        <v>10</v>
      </c>
      <c r="N259" s="8">
        <f t="shared" si="111"/>
        <v>2.9407596371882088</v>
      </c>
      <c r="O259" s="8">
        <f t="shared" si="127"/>
        <v>223.65591115233974</v>
      </c>
      <c r="P259" s="8">
        <f t="shared" si="133"/>
        <v>67.5440851680066</v>
      </c>
      <c r="Q259" s="58">
        <f t="shared" si="130"/>
        <v>228.12902937538655</v>
      </c>
      <c r="R259" s="78">
        <f>1.635*2+14+13.64</f>
        <v>30.91</v>
      </c>
      <c r="S259" s="79">
        <v>30.91</v>
      </c>
      <c r="T259" s="21">
        <f t="shared" si="131"/>
        <v>34.001000000000005</v>
      </c>
      <c r="U259" s="9">
        <f t="shared" si="110"/>
        <v>556.2707853329212</v>
      </c>
      <c r="V259" s="8">
        <f t="shared" si="128"/>
        <v>139.0676963332303</v>
      </c>
      <c r="W259" s="52">
        <f t="shared" si="129"/>
        <v>695.3384816661514</v>
      </c>
      <c r="X259" s="22">
        <v>590</v>
      </c>
      <c r="Y259" s="7"/>
      <c r="Z259" s="20">
        <v>591</v>
      </c>
      <c r="AA259" s="4">
        <v>525</v>
      </c>
      <c r="AB259" s="4">
        <v>530</v>
      </c>
      <c r="AC259" s="14">
        <f t="shared" si="132"/>
        <v>32.445425079266954</v>
      </c>
      <c r="AD259" s="56">
        <v>591.4592826271903</v>
      </c>
      <c r="AE259" s="17">
        <f t="shared" si="97"/>
        <v>1.1756320377246297</v>
      </c>
    </row>
    <row r="260" spans="1:31" ht="15">
      <c r="A260" s="43" t="s">
        <v>692</v>
      </c>
      <c r="B260" s="31" t="s">
        <v>242</v>
      </c>
      <c r="C260" s="7">
        <v>572624</v>
      </c>
      <c r="D260" s="7">
        <v>1650</v>
      </c>
      <c r="E260" s="7">
        <v>10</v>
      </c>
      <c r="F260" s="8">
        <f>C260/D260/60*E260</f>
        <v>57.84080808080808</v>
      </c>
      <c r="G260" s="37">
        <v>389340</v>
      </c>
      <c r="H260" s="7">
        <v>1925</v>
      </c>
      <c r="I260" s="7">
        <v>10</v>
      </c>
      <c r="J260" s="8">
        <f t="shared" si="126"/>
        <v>33.709090909090904</v>
      </c>
      <c r="K260" s="7">
        <v>0</v>
      </c>
      <c r="L260" s="7">
        <v>1</v>
      </c>
      <c r="M260" s="7">
        <v>0</v>
      </c>
      <c r="N260" s="8">
        <f t="shared" si="111"/>
        <v>0</v>
      </c>
      <c r="O260" s="8">
        <f t="shared" si="127"/>
        <v>91.54989898989899</v>
      </c>
      <c r="P260" s="8">
        <f t="shared" si="133"/>
        <v>27.648069494949496</v>
      </c>
      <c r="Q260" s="58">
        <f t="shared" si="130"/>
        <v>93.38089696969698</v>
      </c>
      <c r="R260" s="78">
        <f>14+12.27*5+20+13.64</f>
        <v>108.99</v>
      </c>
      <c r="S260" s="79">
        <v>108.99</v>
      </c>
      <c r="T260" s="21">
        <f t="shared" si="131"/>
        <v>119.88900000000001</v>
      </c>
      <c r="U260" s="9">
        <f t="shared" si="110"/>
        <v>332.46786545454546</v>
      </c>
      <c r="V260" s="8">
        <f t="shared" si="128"/>
        <v>83.11696636363637</v>
      </c>
      <c r="W260" s="52">
        <f t="shared" si="129"/>
        <v>415.58483181818184</v>
      </c>
      <c r="X260" s="22">
        <v>350</v>
      </c>
      <c r="Y260" s="7"/>
      <c r="Z260" s="20">
        <v>350</v>
      </c>
      <c r="AA260" s="4">
        <v>240</v>
      </c>
      <c r="AB260" s="4">
        <v>350</v>
      </c>
      <c r="AC260" s="14">
        <f t="shared" si="132"/>
        <v>73.16034659090911</v>
      </c>
      <c r="AD260" s="56">
        <v>354.9469011428572</v>
      </c>
      <c r="AE260" s="17">
        <f t="shared" si="97"/>
        <v>1.1708366250841542</v>
      </c>
    </row>
    <row r="261" spans="1:31" ht="15">
      <c r="A261" s="43" t="s">
        <v>693</v>
      </c>
      <c r="B261" s="31" t="s">
        <v>240</v>
      </c>
      <c r="C261" s="7">
        <v>572624</v>
      </c>
      <c r="D261" s="7">
        <v>1650</v>
      </c>
      <c r="E261" s="7">
        <v>25</v>
      </c>
      <c r="F261" s="8">
        <f>C261/D261/60*E261</f>
        <v>144.60202020202019</v>
      </c>
      <c r="G261" s="37">
        <v>389340</v>
      </c>
      <c r="H261" s="7">
        <v>1925</v>
      </c>
      <c r="I261" s="7">
        <v>20</v>
      </c>
      <c r="J261" s="8">
        <f t="shared" si="126"/>
        <v>67.41818181818181</v>
      </c>
      <c r="K261" s="7">
        <v>21712</v>
      </c>
      <c r="L261" s="7">
        <v>846720</v>
      </c>
      <c r="M261" s="7">
        <v>13</v>
      </c>
      <c r="N261" s="8">
        <f t="shared" si="111"/>
        <v>0.3333522297808012</v>
      </c>
      <c r="O261" s="8">
        <f t="shared" si="127"/>
        <v>212.3535542499828</v>
      </c>
      <c r="P261" s="8">
        <f t="shared" si="133"/>
        <v>64.13077338349481</v>
      </c>
      <c r="Q261" s="58">
        <f t="shared" si="130"/>
        <v>216.60062533498245</v>
      </c>
      <c r="R261" s="78">
        <f>14*2+2.9*10+1.635*2+13.64*2+0.21*5</f>
        <v>88.60000000000001</v>
      </c>
      <c r="S261" s="79">
        <v>88.60000000000001</v>
      </c>
      <c r="T261" s="21">
        <f t="shared" si="131"/>
        <v>97.46000000000002</v>
      </c>
      <c r="U261" s="9">
        <f t="shared" si="110"/>
        <v>590.8783051982409</v>
      </c>
      <c r="V261" s="8">
        <f t="shared" si="128"/>
        <v>147.71957629956023</v>
      </c>
      <c r="W261" s="52">
        <f t="shared" si="129"/>
        <v>738.5978814978012</v>
      </c>
      <c r="X261" s="22">
        <v>630</v>
      </c>
      <c r="Y261" s="7"/>
      <c r="Z261" s="20">
        <v>629</v>
      </c>
      <c r="AA261" s="4">
        <v>597</v>
      </c>
      <c r="AB261" s="4">
        <v>597</v>
      </c>
      <c r="AC261" s="14">
        <f t="shared" si="132"/>
        <v>23.718238106834363</v>
      </c>
      <c r="AD261" s="56">
        <v>629.5586463809182</v>
      </c>
      <c r="AE261" s="17">
        <f t="shared" si="97"/>
        <v>1.1731994878375607</v>
      </c>
    </row>
    <row r="262" spans="1:31" ht="15">
      <c r="A262" s="43" t="s">
        <v>694</v>
      </c>
      <c r="B262" s="31" t="s">
        <v>367</v>
      </c>
      <c r="C262" s="7">
        <v>572624</v>
      </c>
      <c r="D262" s="7">
        <v>1650</v>
      </c>
      <c r="E262" s="7">
        <v>25</v>
      </c>
      <c r="F262" s="8">
        <f>C262/D262/60*E262</f>
        <v>144.60202020202019</v>
      </c>
      <c r="G262" s="37">
        <v>389340</v>
      </c>
      <c r="H262" s="7">
        <v>1925</v>
      </c>
      <c r="I262" s="7">
        <v>16</v>
      </c>
      <c r="J262" s="8">
        <f t="shared" si="126"/>
        <v>53.93454545454545</v>
      </c>
      <c r="K262" s="7">
        <v>65510</v>
      </c>
      <c r="L262" s="7">
        <v>673142.4</v>
      </c>
      <c r="M262" s="7">
        <v>20</v>
      </c>
      <c r="N262" s="8">
        <f t="shared" si="111"/>
        <v>1.9463935119820115</v>
      </c>
      <c r="O262" s="8">
        <f t="shared" si="127"/>
        <v>200.48295916854767</v>
      </c>
      <c r="P262" s="8">
        <f>O262*0.302</f>
        <v>60.545853668901394</v>
      </c>
      <c r="Q262" s="58">
        <f t="shared" si="130"/>
        <v>204.49261835191862</v>
      </c>
      <c r="R262" s="78">
        <f>14*2+1.635*2+0.83*2+13.64</f>
        <v>46.57</v>
      </c>
      <c r="S262" s="79">
        <v>46.57</v>
      </c>
      <c r="T262" s="21">
        <f t="shared" si="131"/>
        <v>51.227000000000004</v>
      </c>
      <c r="U262" s="9">
        <f t="shared" si="110"/>
        <v>518.6948247013497</v>
      </c>
      <c r="V262" s="8">
        <f>U262*25%</f>
        <v>129.67370617533743</v>
      </c>
      <c r="W262" s="52">
        <f>U262+V262</f>
        <v>648.3685308766871</v>
      </c>
      <c r="X262" s="22">
        <v>630</v>
      </c>
      <c r="Y262" s="7"/>
      <c r="Z262" s="20"/>
      <c r="AA262" s="4">
        <v>597</v>
      </c>
      <c r="AB262" s="4">
        <v>597</v>
      </c>
      <c r="AC262" s="14">
        <f>(100*W262)/AA262-100</f>
        <v>8.60444403294592</v>
      </c>
      <c r="AD262" s="56">
        <v>555.3094393182456</v>
      </c>
      <c r="AE262" s="17">
        <f t="shared" si="97"/>
        <v>1.1675806045593073</v>
      </c>
    </row>
    <row r="263" spans="1:31" ht="15">
      <c r="A263" s="43" t="s">
        <v>695</v>
      </c>
      <c r="B263" s="31" t="s">
        <v>368</v>
      </c>
      <c r="C263" s="7">
        <v>572624</v>
      </c>
      <c r="D263" s="7">
        <v>1650</v>
      </c>
      <c r="E263" s="7">
        <v>15</v>
      </c>
      <c r="F263" s="8">
        <f>C263/D263/60*E263</f>
        <v>86.76121212121213</v>
      </c>
      <c r="G263" s="37">
        <v>389340</v>
      </c>
      <c r="H263" s="7">
        <v>1925</v>
      </c>
      <c r="I263" s="7">
        <v>13</v>
      </c>
      <c r="J263" s="8">
        <f t="shared" si="126"/>
        <v>43.82181818181818</v>
      </c>
      <c r="K263" s="7">
        <v>190930</v>
      </c>
      <c r="L263" s="7">
        <v>673142.4</v>
      </c>
      <c r="M263" s="7">
        <v>15</v>
      </c>
      <c r="N263" s="8">
        <f t="shared" si="111"/>
        <v>4.2545975413226085</v>
      </c>
      <c r="O263" s="8">
        <f t="shared" si="127"/>
        <v>134.8376278443529</v>
      </c>
      <c r="P263" s="8">
        <f>O263*0.302</f>
        <v>40.72096360899458</v>
      </c>
      <c r="Q263" s="58">
        <f t="shared" si="130"/>
        <v>137.53438040123996</v>
      </c>
      <c r="R263" s="78">
        <f>14*2+0.83*2</f>
        <v>29.66</v>
      </c>
      <c r="S263" s="79">
        <v>29.66</v>
      </c>
      <c r="T263" s="21">
        <f t="shared" si="131"/>
        <v>32.626000000000005</v>
      </c>
      <c r="U263" s="9">
        <f t="shared" si="110"/>
        <v>349.9735693959101</v>
      </c>
      <c r="V263" s="8">
        <f>U263*25%</f>
        <v>87.49339234897752</v>
      </c>
      <c r="W263" s="52">
        <f>U263+V263</f>
        <v>437.4669617448876</v>
      </c>
      <c r="X263" s="22">
        <v>400</v>
      </c>
      <c r="Y263" s="7"/>
      <c r="Z263" s="20"/>
      <c r="AA263" s="4">
        <v>597</v>
      </c>
      <c r="AB263" s="4">
        <v>597</v>
      </c>
      <c r="AC263" s="14">
        <f>(100*W263)/AA263-100</f>
        <v>-26.72245196903056</v>
      </c>
      <c r="AD263" s="56">
        <v>374.764612134498</v>
      </c>
      <c r="AE263" s="17">
        <f t="shared" si="97"/>
        <v>1.167311287085683</v>
      </c>
    </row>
    <row r="264" spans="1:31" ht="15">
      <c r="A264" s="43" t="s">
        <v>696</v>
      </c>
      <c r="B264" s="31" t="s">
        <v>401</v>
      </c>
      <c r="C264" s="7">
        <v>572624</v>
      </c>
      <c r="D264" s="7">
        <v>1650</v>
      </c>
      <c r="E264" s="7">
        <v>33</v>
      </c>
      <c r="F264" s="8">
        <f>C264/D264/60*E264</f>
        <v>190.87466666666666</v>
      </c>
      <c r="G264" s="37">
        <v>389340</v>
      </c>
      <c r="H264" s="7">
        <v>1925</v>
      </c>
      <c r="I264" s="7">
        <v>30</v>
      </c>
      <c r="J264" s="8">
        <f t="shared" si="126"/>
        <v>101.12727272727273</v>
      </c>
      <c r="K264" s="7">
        <v>0</v>
      </c>
      <c r="L264" s="7">
        <v>1</v>
      </c>
      <c r="M264" s="7">
        <v>0</v>
      </c>
      <c r="N264" s="8">
        <f>K264/L264*M264</f>
        <v>0</v>
      </c>
      <c r="O264" s="8">
        <f>F264+J264+N264</f>
        <v>292.0019393939394</v>
      </c>
      <c r="P264" s="8">
        <f>O264*0.302</f>
        <v>88.18458569696969</v>
      </c>
      <c r="Q264" s="58">
        <f t="shared" si="130"/>
        <v>297.84197818181815</v>
      </c>
      <c r="R264" s="78">
        <f>14*2+29+13.64</f>
        <v>70.64</v>
      </c>
      <c r="S264" s="79">
        <v>70.64</v>
      </c>
      <c r="T264" s="21">
        <f t="shared" si="131"/>
        <v>77.70400000000001</v>
      </c>
      <c r="U264" s="9">
        <f t="shared" si="110"/>
        <v>755.7325032727272</v>
      </c>
      <c r="V264" s="8">
        <f>U264*25%</f>
        <v>188.9331258181818</v>
      </c>
      <c r="W264" s="52">
        <f>U264+V264</f>
        <v>944.665629090909</v>
      </c>
      <c r="X264" s="22">
        <v>1000</v>
      </c>
      <c r="Y264" s="7"/>
      <c r="Z264" s="20"/>
      <c r="AA264" s="4">
        <v>597</v>
      </c>
      <c r="AB264" s="4">
        <v>597</v>
      </c>
      <c r="AC264" s="14">
        <f>(100*W264)/AA264-100</f>
        <v>58.235448758946205</v>
      </c>
      <c r="AD264" s="56">
        <v>808.3503906493506</v>
      </c>
      <c r="AE264" s="17">
        <f t="shared" si="97"/>
        <v>1.1686338498977602</v>
      </c>
    </row>
    <row r="265" spans="1:29" ht="15">
      <c r="A265" s="43"/>
      <c r="B265" s="85" t="s">
        <v>142</v>
      </c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7"/>
      <c r="S265" s="87"/>
      <c r="T265" s="86"/>
      <c r="U265" s="86"/>
      <c r="V265" s="86"/>
      <c r="W265" s="88"/>
      <c r="X265" s="23"/>
      <c r="Y265" s="21"/>
      <c r="Z265" s="20"/>
      <c r="AC265" s="14"/>
    </row>
    <row r="266" spans="1:31" ht="15">
      <c r="A266" s="43" t="s">
        <v>697</v>
      </c>
      <c r="B266" s="31" t="s">
        <v>330</v>
      </c>
      <c r="C266" s="7">
        <v>572624</v>
      </c>
      <c r="D266" s="7">
        <v>1650</v>
      </c>
      <c r="E266" s="7">
        <v>4</v>
      </c>
      <c r="F266" s="8">
        <f aca="true" t="shared" si="134" ref="F266:F271">C266/D266/60*E266</f>
        <v>23.13632323232323</v>
      </c>
      <c r="G266" s="37">
        <v>389340</v>
      </c>
      <c r="H266" s="7">
        <v>1925</v>
      </c>
      <c r="I266" s="7">
        <v>1</v>
      </c>
      <c r="J266" s="8">
        <f aca="true" t="shared" si="135" ref="J266:J271">G266/H266/60*I266</f>
        <v>3.3709090909090906</v>
      </c>
      <c r="K266" s="7">
        <v>0</v>
      </c>
      <c r="L266" s="7">
        <v>1</v>
      </c>
      <c r="M266" s="7">
        <v>0</v>
      </c>
      <c r="N266" s="8">
        <f t="shared" si="111"/>
        <v>0</v>
      </c>
      <c r="O266" s="8">
        <f aca="true" t="shared" si="136" ref="O266:O280">F266+J266+N266</f>
        <v>26.507232323232323</v>
      </c>
      <c r="P266" s="8">
        <f>O266*0.302</f>
        <v>8.005184161616162</v>
      </c>
      <c r="Q266" s="58">
        <f>(O266)*102%</f>
        <v>27.037376969696968</v>
      </c>
      <c r="R266" s="78">
        <f>0.22*2+1.1888*2+2.8+14*2+1*2+11+9.17+14</f>
        <v>69.7876</v>
      </c>
      <c r="S266" s="79">
        <v>69.7876</v>
      </c>
      <c r="T266" s="21">
        <f t="shared" si="131"/>
        <v>76.76636</v>
      </c>
      <c r="U266" s="9">
        <f t="shared" si="110"/>
        <v>138.31615345454546</v>
      </c>
      <c r="V266" s="8">
        <f t="shared" si="128"/>
        <v>34.579038363636364</v>
      </c>
      <c r="W266" s="52">
        <f aca="true" t="shared" si="137" ref="W266:W280">U266+V266</f>
        <v>172.89519181818181</v>
      </c>
      <c r="X266" s="22"/>
      <c r="Y266" s="7"/>
      <c r="Z266" s="20">
        <v>148</v>
      </c>
      <c r="AA266" s="4">
        <v>130</v>
      </c>
      <c r="AB266" s="4">
        <v>160</v>
      </c>
      <c r="AC266" s="14">
        <f t="shared" si="132"/>
        <v>32.99630139860139</v>
      </c>
      <c r="AD266" s="56">
        <v>147.7288925194805</v>
      </c>
      <c r="AE266" s="17">
        <f t="shared" si="97"/>
        <v>1.1703546196650918</v>
      </c>
    </row>
    <row r="267" spans="1:31" ht="15">
      <c r="A267" s="43" t="s">
        <v>698</v>
      </c>
      <c r="B267" s="31" t="s">
        <v>331</v>
      </c>
      <c r="C267" s="7">
        <v>572624</v>
      </c>
      <c r="D267" s="7">
        <v>1650</v>
      </c>
      <c r="E267" s="7">
        <v>2</v>
      </c>
      <c r="F267" s="8">
        <f t="shared" si="134"/>
        <v>11.568161616161616</v>
      </c>
      <c r="G267" s="37">
        <v>389340</v>
      </c>
      <c r="H267" s="7">
        <v>1925</v>
      </c>
      <c r="I267" s="7">
        <v>1</v>
      </c>
      <c r="J267" s="8">
        <f t="shared" si="135"/>
        <v>3.3709090909090906</v>
      </c>
      <c r="K267" s="7">
        <v>0</v>
      </c>
      <c r="L267" s="7">
        <v>1</v>
      </c>
      <c r="M267" s="7">
        <v>0</v>
      </c>
      <c r="N267" s="8">
        <f t="shared" si="111"/>
        <v>0</v>
      </c>
      <c r="O267" s="8">
        <f t="shared" si="136"/>
        <v>14.939070707070707</v>
      </c>
      <c r="P267" s="8">
        <f>O267*0.302</f>
        <v>4.511599353535353</v>
      </c>
      <c r="Q267" s="58">
        <f aca="true" t="shared" si="138" ref="Q267:Q283">(O267)*102%</f>
        <v>15.237852121212121</v>
      </c>
      <c r="R267" s="78">
        <f>0.22*2+1.1888*2+2.8+14*2+1*2+11+9.17+14*2</f>
        <v>83.7876</v>
      </c>
      <c r="S267" s="79">
        <v>83.7876</v>
      </c>
      <c r="T267" s="21">
        <f t="shared" si="131"/>
        <v>92.16636000000001</v>
      </c>
      <c r="U267" s="9">
        <f t="shared" si="110"/>
        <v>126.8548821818182</v>
      </c>
      <c r="V267" s="8">
        <f t="shared" si="128"/>
        <v>31.71372054545455</v>
      </c>
      <c r="W267" s="52">
        <f t="shared" si="137"/>
        <v>158.56860272727275</v>
      </c>
      <c r="X267" s="22"/>
      <c r="Y267" s="7"/>
      <c r="Z267" s="20">
        <v>136</v>
      </c>
      <c r="AA267" s="4">
        <v>121</v>
      </c>
      <c r="AB267" s="4">
        <v>160</v>
      </c>
      <c r="AC267" s="14">
        <f t="shared" si="132"/>
        <v>31.04843200601053</v>
      </c>
      <c r="AD267" s="56">
        <v>138.53292888311688</v>
      </c>
      <c r="AE267" s="17">
        <f aca="true" t="shared" si="139" ref="AE267:AE330">W267/AD267</f>
        <v>1.144627519288648</v>
      </c>
    </row>
    <row r="268" spans="1:31" ht="15">
      <c r="A268" s="43" t="s">
        <v>699</v>
      </c>
      <c r="B268" s="31" t="s">
        <v>97</v>
      </c>
      <c r="C268" s="7">
        <v>572624</v>
      </c>
      <c r="D268" s="7">
        <v>1650</v>
      </c>
      <c r="E268" s="7">
        <v>20</v>
      </c>
      <c r="F268" s="8">
        <f t="shared" si="134"/>
        <v>115.68161616161616</v>
      </c>
      <c r="G268" s="37">
        <v>389340</v>
      </c>
      <c r="H268" s="7">
        <v>1925</v>
      </c>
      <c r="I268" s="7">
        <v>15</v>
      </c>
      <c r="J268" s="8">
        <f t="shared" si="135"/>
        <v>50.56363636363636</v>
      </c>
      <c r="K268" s="7">
        <v>0</v>
      </c>
      <c r="L268" s="7">
        <v>1</v>
      </c>
      <c r="M268" s="7">
        <v>0</v>
      </c>
      <c r="N268" s="8">
        <f t="shared" si="111"/>
        <v>0</v>
      </c>
      <c r="O268" s="8">
        <f t="shared" si="136"/>
        <v>166.2452525252525</v>
      </c>
      <c r="P268" s="8">
        <f aca="true" t="shared" si="140" ref="P268:P280">O268*0.302</f>
        <v>50.20606626262626</v>
      </c>
      <c r="Q268" s="58">
        <f t="shared" si="138"/>
        <v>169.57015757575758</v>
      </c>
      <c r="R268" s="78">
        <f>0.22*2+1.1888*5+2.8+1.866+1*5+11*2+0.33*3+14*2</f>
        <v>67.03999999999999</v>
      </c>
      <c r="S268" s="79">
        <v>67.03999999999999</v>
      </c>
      <c r="T268" s="21">
        <f t="shared" si="131"/>
        <v>73.744</v>
      </c>
      <c r="U268" s="9">
        <f t="shared" si="110"/>
        <v>459.76547636363637</v>
      </c>
      <c r="V268" s="8">
        <f t="shared" si="128"/>
        <v>114.94136909090909</v>
      </c>
      <c r="W268" s="52">
        <f t="shared" si="137"/>
        <v>574.7068454545455</v>
      </c>
      <c r="X268" s="22"/>
      <c r="Y268" s="7"/>
      <c r="Z268" s="20">
        <v>494</v>
      </c>
      <c r="AA268" s="4">
        <v>437</v>
      </c>
      <c r="AB268" s="4">
        <v>437</v>
      </c>
      <c r="AC268" s="14">
        <f t="shared" si="132"/>
        <v>31.511863948408575</v>
      </c>
      <c r="AD268" s="56">
        <v>494.60513059740254</v>
      </c>
      <c r="AE268" s="17">
        <f t="shared" si="139"/>
        <v>1.1619508369441964</v>
      </c>
    </row>
    <row r="269" spans="1:31" ht="15">
      <c r="A269" s="43" t="s">
        <v>700</v>
      </c>
      <c r="B269" s="31" t="s">
        <v>389</v>
      </c>
      <c r="C269" s="7">
        <v>572624</v>
      </c>
      <c r="D269" s="7">
        <v>1650</v>
      </c>
      <c r="E269" s="7">
        <v>10</v>
      </c>
      <c r="F269" s="8">
        <f t="shared" si="134"/>
        <v>57.84080808080808</v>
      </c>
      <c r="G269" s="37">
        <v>389340</v>
      </c>
      <c r="H269" s="7">
        <v>1925</v>
      </c>
      <c r="I269" s="7">
        <v>6</v>
      </c>
      <c r="J269" s="8">
        <f t="shared" si="135"/>
        <v>20.225454545454543</v>
      </c>
      <c r="K269" s="7">
        <v>0</v>
      </c>
      <c r="L269" s="7">
        <v>1</v>
      </c>
      <c r="M269" s="7">
        <v>0</v>
      </c>
      <c r="N269" s="8">
        <f t="shared" si="111"/>
        <v>0</v>
      </c>
      <c r="O269" s="8">
        <f t="shared" si="136"/>
        <v>78.06626262626263</v>
      </c>
      <c r="P269" s="8">
        <f t="shared" si="140"/>
        <v>23.576011313131314</v>
      </c>
      <c r="Q269" s="58">
        <f t="shared" si="138"/>
        <v>79.62758787878788</v>
      </c>
      <c r="R269" s="78">
        <f>0.22*2+1.1888*5+2.8+1.866+1*5+11+0.367*3+9.17*2+14*2+1.88*2</f>
        <v>78.251</v>
      </c>
      <c r="S269" s="79">
        <v>78.251</v>
      </c>
      <c r="T269" s="21">
        <f t="shared" si="131"/>
        <v>86.07610000000001</v>
      </c>
      <c r="U269" s="9">
        <f t="shared" si="110"/>
        <v>267.3459618181818</v>
      </c>
      <c r="V269" s="8">
        <f t="shared" si="128"/>
        <v>66.83649045454546</v>
      </c>
      <c r="W269" s="52">
        <f t="shared" si="137"/>
        <v>334.1824522727273</v>
      </c>
      <c r="X269" s="22"/>
      <c r="Y269" s="7"/>
      <c r="Z269" s="20">
        <v>283</v>
      </c>
      <c r="AA269" s="4">
        <v>248</v>
      </c>
      <c r="AB269" s="4">
        <v>255</v>
      </c>
      <c r="AC269" s="14">
        <f t="shared" si="132"/>
        <v>34.750988819648114</v>
      </c>
      <c r="AD269" s="56">
        <v>284.5209115584416</v>
      </c>
      <c r="AE269" s="17">
        <f t="shared" si="139"/>
        <v>1.174544431346956</v>
      </c>
    </row>
    <row r="270" spans="1:31" ht="15">
      <c r="A270" s="43" t="s">
        <v>701</v>
      </c>
      <c r="B270" s="31" t="s">
        <v>14</v>
      </c>
      <c r="C270" s="7">
        <v>572624</v>
      </c>
      <c r="D270" s="7">
        <v>1650</v>
      </c>
      <c r="E270" s="7">
        <v>6</v>
      </c>
      <c r="F270" s="8">
        <f t="shared" si="134"/>
        <v>34.704484848484846</v>
      </c>
      <c r="G270" s="37">
        <v>389340</v>
      </c>
      <c r="H270" s="7">
        <v>1925</v>
      </c>
      <c r="I270" s="7">
        <v>2</v>
      </c>
      <c r="J270" s="8">
        <f t="shared" si="135"/>
        <v>6.741818181818181</v>
      </c>
      <c r="K270" s="7">
        <v>0</v>
      </c>
      <c r="L270" s="7">
        <v>1</v>
      </c>
      <c r="M270" s="7">
        <v>0</v>
      </c>
      <c r="N270" s="8">
        <f t="shared" si="111"/>
        <v>0</v>
      </c>
      <c r="O270" s="8">
        <f t="shared" si="136"/>
        <v>41.44630303030303</v>
      </c>
      <c r="P270" s="8">
        <f t="shared" si="140"/>
        <v>12.516783515151515</v>
      </c>
      <c r="Q270" s="58">
        <f t="shared" si="138"/>
        <v>42.275229090909086</v>
      </c>
      <c r="R270" s="78">
        <f>14</f>
        <v>14</v>
      </c>
      <c r="S270" s="79">
        <v>14</v>
      </c>
      <c r="T270" s="21">
        <f t="shared" si="131"/>
        <v>15.400000000000002</v>
      </c>
      <c r="U270" s="9">
        <f t="shared" si="110"/>
        <v>111.63831563636364</v>
      </c>
      <c r="V270" s="8">
        <f t="shared" si="128"/>
        <v>27.90957890909091</v>
      </c>
      <c r="W270" s="52">
        <f t="shared" si="137"/>
        <v>139.54789454545454</v>
      </c>
      <c r="X270" s="22"/>
      <c r="Y270" s="7"/>
      <c r="Z270" s="20">
        <v>119</v>
      </c>
      <c r="AA270" s="4">
        <v>107</v>
      </c>
      <c r="AB270" s="4">
        <v>115</v>
      </c>
      <c r="AC270" s="14">
        <f t="shared" si="132"/>
        <v>30.418593033135096</v>
      </c>
      <c r="AD270" s="56">
        <v>118.89528664935064</v>
      </c>
      <c r="AE270" s="17">
        <f t="shared" si="139"/>
        <v>1.173704176827574</v>
      </c>
    </row>
    <row r="271" spans="1:31" ht="15">
      <c r="A271" s="43" t="s">
        <v>702</v>
      </c>
      <c r="B271" s="31" t="s">
        <v>114</v>
      </c>
      <c r="C271" s="7">
        <v>572624</v>
      </c>
      <c r="D271" s="7">
        <v>1650</v>
      </c>
      <c r="E271" s="7">
        <v>10</v>
      </c>
      <c r="F271" s="8">
        <f t="shared" si="134"/>
        <v>57.84080808080808</v>
      </c>
      <c r="G271" s="37">
        <v>389340</v>
      </c>
      <c r="H271" s="7">
        <v>1925</v>
      </c>
      <c r="I271" s="7">
        <v>9</v>
      </c>
      <c r="J271" s="8">
        <f t="shared" si="135"/>
        <v>30.338181818181816</v>
      </c>
      <c r="K271" s="7">
        <v>0</v>
      </c>
      <c r="L271" s="7">
        <v>1</v>
      </c>
      <c r="M271" s="7">
        <v>0</v>
      </c>
      <c r="N271" s="8">
        <f t="shared" si="111"/>
        <v>0</v>
      </c>
      <c r="O271" s="8">
        <f t="shared" si="136"/>
        <v>88.1789898989899</v>
      </c>
      <c r="P271" s="8">
        <f t="shared" si="140"/>
        <v>26.630054949494948</v>
      </c>
      <c r="Q271" s="58">
        <f t="shared" si="138"/>
        <v>89.9425696969697</v>
      </c>
      <c r="R271" s="78">
        <f>0.367*3+1.1888*5+0.33+3+1.635*2+1.88*3+9.17*2+14</f>
        <v>51.625</v>
      </c>
      <c r="S271" s="79">
        <v>51.625</v>
      </c>
      <c r="T271" s="21">
        <f t="shared" si="131"/>
        <v>56.7875</v>
      </c>
      <c r="U271" s="9">
        <f t="shared" si="110"/>
        <v>261.53911454545454</v>
      </c>
      <c r="V271" s="8">
        <f t="shared" si="128"/>
        <v>65.38477863636363</v>
      </c>
      <c r="W271" s="52">
        <f t="shared" si="137"/>
        <v>326.9238931818182</v>
      </c>
      <c r="X271" s="22"/>
      <c r="Y271" s="7"/>
      <c r="Z271" s="20">
        <v>283</v>
      </c>
      <c r="AA271" s="4">
        <v>248</v>
      </c>
      <c r="AB271" s="4">
        <v>210</v>
      </c>
      <c r="AC271" s="14">
        <f t="shared" si="132"/>
        <v>31.824150476539586</v>
      </c>
      <c r="AD271" s="56">
        <v>283.24065114285713</v>
      </c>
      <c r="AE271" s="17">
        <f t="shared" si="139"/>
        <v>1.1542265979925626</v>
      </c>
    </row>
    <row r="272" spans="1:31" ht="15">
      <c r="A272" s="43" t="s">
        <v>703</v>
      </c>
      <c r="B272" s="31" t="s">
        <v>98</v>
      </c>
      <c r="C272" s="7">
        <v>572624</v>
      </c>
      <c r="D272" s="7">
        <v>1650</v>
      </c>
      <c r="E272" s="7">
        <v>10</v>
      </c>
      <c r="F272" s="8">
        <f>C272/D272/60*E272</f>
        <v>57.84080808080808</v>
      </c>
      <c r="G272" s="37">
        <v>389340</v>
      </c>
      <c r="H272" s="7">
        <v>1925</v>
      </c>
      <c r="I272" s="7">
        <v>8</v>
      </c>
      <c r="J272" s="8">
        <f>G272/H272/60*I272</f>
        <v>26.967272727272725</v>
      </c>
      <c r="K272" s="7">
        <v>0</v>
      </c>
      <c r="L272" s="7">
        <v>1</v>
      </c>
      <c r="M272" s="7">
        <v>0</v>
      </c>
      <c r="N272" s="8">
        <f t="shared" si="111"/>
        <v>0</v>
      </c>
      <c r="O272" s="8">
        <f t="shared" si="136"/>
        <v>84.8080808080808</v>
      </c>
      <c r="P272" s="8">
        <f t="shared" si="140"/>
        <v>25.612040404040403</v>
      </c>
      <c r="Q272" s="58">
        <f t="shared" si="138"/>
        <v>86.50424242424242</v>
      </c>
      <c r="R272" s="78">
        <f>0.22+3+1.635*2+18+0.367*2+9.17+14*2</f>
        <v>62.394000000000005</v>
      </c>
      <c r="S272" s="79">
        <v>62.394000000000005</v>
      </c>
      <c r="T272" s="21">
        <f t="shared" si="131"/>
        <v>68.63340000000001</v>
      </c>
      <c r="U272" s="9">
        <f t="shared" si="110"/>
        <v>265.55776363636363</v>
      </c>
      <c r="V272" s="8">
        <f>U272*25%</f>
        <v>66.38944090909091</v>
      </c>
      <c r="W272" s="52">
        <f t="shared" si="137"/>
        <v>331.94720454545455</v>
      </c>
      <c r="X272" s="22"/>
      <c r="Y272" s="7"/>
      <c r="Z272" s="20">
        <v>283</v>
      </c>
      <c r="AA272" s="4">
        <v>248</v>
      </c>
      <c r="AB272" s="4">
        <v>255</v>
      </c>
      <c r="AC272" s="14">
        <f t="shared" si="132"/>
        <v>33.84967925219942</v>
      </c>
      <c r="AD272" s="56">
        <v>284.29315994805194</v>
      </c>
      <c r="AE272" s="17">
        <f t="shared" si="139"/>
        <v>1.1676229023804523</v>
      </c>
    </row>
    <row r="273" spans="1:31" ht="15">
      <c r="A273" s="43" t="s">
        <v>704</v>
      </c>
      <c r="B273" s="31" t="s">
        <v>305</v>
      </c>
      <c r="C273" s="7">
        <v>572624</v>
      </c>
      <c r="D273" s="7">
        <v>1650</v>
      </c>
      <c r="E273" s="7">
        <v>10</v>
      </c>
      <c r="F273" s="8">
        <f>C273/D273/60*E273</f>
        <v>57.84080808080808</v>
      </c>
      <c r="G273" s="37">
        <v>389340</v>
      </c>
      <c r="H273" s="7">
        <v>1925</v>
      </c>
      <c r="I273" s="7">
        <v>7</v>
      </c>
      <c r="J273" s="8">
        <f>G273/H273/60*I273</f>
        <v>23.596363636363634</v>
      </c>
      <c r="K273" s="8">
        <v>310748.5</v>
      </c>
      <c r="L273" s="7">
        <v>846720</v>
      </c>
      <c r="M273" s="7">
        <v>17</v>
      </c>
      <c r="N273" s="8">
        <f t="shared" si="111"/>
        <v>6.2390453750944825</v>
      </c>
      <c r="O273" s="8">
        <f t="shared" si="136"/>
        <v>87.67621709226619</v>
      </c>
      <c r="P273" s="8">
        <f t="shared" si="140"/>
        <v>26.478217561864387</v>
      </c>
      <c r="Q273" s="58">
        <f t="shared" si="138"/>
        <v>89.4297414341115</v>
      </c>
      <c r="R273" s="78">
        <f>0.22*2+1.1888*5+2.8+5+1.635*2+0.33*3+14*2</f>
        <v>46.444</v>
      </c>
      <c r="S273" s="79">
        <v>46.444</v>
      </c>
      <c r="T273" s="21">
        <f t="shared" si="131"/>
        <v>51.08840000000001</v>
      </c>
      <c r="U273" s="9">
        <f t="shared" si="110"/>
        <v>260.9116214633366</v>
      </c>
      <c r="V273" s="8">
        <f>U273*25%</f>
        <v>65.22790536583415</v>
      </c>
      <c r="W273" s="52">
        <f t="shared" si="137"/>
        <v>326.13952682917073</v>
      </c>
      <c r="X273" s="22"/>
      <c r="Y273" s="7"/>
      <c r="Z273" s="20">
        <v>283</v>
      </c>
      <c r="AA273" s="4">
        <v>130</v>
      </c>
      <c r="AB273" s="4">
        <v>145</v>
      </c>
      <c r="AC273" s="14">
        <f t="shared" si="132"/>
        <v>150.87655909936208</v>
      </c>
      <c r="AD273" s="56">
        <v>283.1608306213786</v>
      </c>
      <c r="AE273" s="17">
        <f t="shared" si="139"/>
        <v>1.1517819258881186</v>
      </c>
    </row>
    <row r="274" spans="1:31" ht="15">
      <c r="A274" s="43" t="s">
        <v>705</v>
      </c>
      <c r="B274" s="31" t="s">
        <v>306</v>
      </c>
      <c r="C274" s="7">
        <v>572624</v>
      </c>
      <c r="D274" s="7">
        <v>1650</v>
      </c>
      <c r="E274" s="7">
        <v>10</v>
      </c>
      <c r="F274" s="8">
        <f>C274/D274/60*E274</f>
        <v>57.84080808080808</v>
      </c>
      <c r="G274" s="37">
        <v>389340</v>
      </c>
      <c r="H274" s="7">
        <v>1925</v>
      </c>
      <c r="I274" s="7">
        <v>7</v>
      </c>
      <c r="J274" s="8">
        <f>G274/H274/60*I274</f>
        <v>23.596363636363634</v>
      </c>
      <c r="K274" s="8">
        <v>310748.5</v>
      </c>
      <c r="L274" s="7">
        <v>846720</v>
      </c>
      <c r="M274" s="7">
        <v>17</v>
      </c>
      <c r="N274" s="8">
        <f t="shared" si="111"/>
        <v>6.2390453750944825</v>
      </c>
      <c r="O274" s="8">
        <f t="shared" si="136"/>
        <v>87.67621709226619</v>
      </c>
      <c r="P274" s="8">
        <f t="shared" si="140"/>
        <v>26.478217561864387</v>
      </c>
      <c r="Q274" s="58">
        <f t="shared" si="138"/>
        <v>89.4297414341115</v>
      </c>
      <c r="R274" s="78">
        <f>0.22*2+1.1888*5+2.8+5+1.635*2+0.33*3+14*2</f>
        <v>46.444</v>
      </c>
      <c r="S274" s="79">
        <v>46.444</v>
      </c>
      <c r="T274" s="21">
        <f t="shared" si="131"/>
        <v>51.08840000000001</v>
      </c>
      <c r="U274" s="9">
        <f t="shared" si="110"/>
        <v>260.9116214633366</v>
      </c>
      <c r="V274" s="8">
        <f>U274*25%</f>
        <v>65.22790536583415</v>
      </c>
      <c r="W274" s="52">
        <f t="shared" si="137"/>
        <v>326.13952682917073</v>
      </c>
      <c r="X274" s="22"/>
      <c r="Y274" s="7"/>
      <c r="Z274" s="20">
        <v>283</v>
      </c>
      <c r="AA274" s="4">
        <v>166</v>
      </c>
      <c r="AB274" s="4">
        <v>185</v>
      </c>
      <c r="AC274" s="14">
        <f t="shared" si="132"/>
        <v>96.46959447540405</v>
      </c>
      <c r="AD274" s="56">
        <v>283.1608306213786</v>
      </c>
      <c r="AE274" s="17">
        <f t="shared" si="139"/>
        <v>1.1517819258881186</v>
      </c>
    </row>
    <row r="275" spans="1:31" ht="15">
      <c r="A275" s="43" t="s">
        <v>706</v>
      </c>
      <c r="B275" s="31" t="s">
        <v>332</v>
      </c>
      <c r="C275" s="7">
        <v>572624</v>
      </c>
      <c r="D275" s="7">
        <v>1650</v>
      </c>
      <c r="E275" s="7">
        <v>13</v>
      </c>
      <c r="F275" s="8">
        <f>C275/D275/60*E275</f>
        <v>75.19305050505051</v>
      </c>
      <c r="G275" s="37">
        <v>389340</v>
      </c>
      <c r="H275" s="7">
        <v>1925</v>
      </c>
      <c r="I275" s="7">
        <v>11</v>
      </c>
      <c r="J275" s="8">
        <f>G275/H275/60*I275</f>
        <v>37.08</v>
      </c>
      <c r="K275" s="8">
        <v>310748.5</v>
      </c>
      <c r="L275" s="7">
        <v>846720</v>
      </c>
      <c r="M275" s="7">
        <v>20</v>
      </c>
      <c r="N275" s="8">
        <f t="shared" si="111"/>
        <v>7.340053382464097</v>
      </c>
      <c r="O275" s="8">
        <f t="shared" si="136"/>
        <v>119.6131038875146</v>
      </c>
      <c r="P275" s="8">
        <f t="shared" si="140"/>
        <v>36.123157374029404</v>
      </c>
      <c r="Q275" s="58">
        <f t="shared" si="138"/>
        <v>122.00536596526489</v>
      </c>
      <c r="R275" s="78">
        <f>0.22*2+1.1888*5+2.8+5+1.635*2+0.33*3+14*2</f>
        <v>46.444</v>
      </c>
      <c r="S275" s="79">
        <v>46.444</v>
      </c>
      <c r="T275" s="21">
        <f t="shared" si="131"/>
        <v>51.08840000000001</v>
      </c>
      <c r="U275" s="9">
        <f t="shared" si="110"/>
        <v>336.170080609273</v>
      </c>
      <c r="V275" s="8">
        <f>U275*25%</f>
        <v>84.04252015231825</v>
      </c>
      <c r="W275" s="52">
        <f t="shared" si="137"/>
        <v>420.21260076159126</v>
      </c>
      <c r="X275" s="22"/>
      <c r="Y275" s="7"/>
      <c r="Z275" s="20">
        <v>359</v>
      </c>
      <c r="AA275" s="4">
        <v>320</v>
      </c>
      <c r="AB275" s="4">
        <v>195</v>
      </c>
      <c r="AC275" s="14">
        <f t="shared" si="132"/>
        <v>31.316437737997262</v>
      </c>
      <c r="AD275" s="56">
        <v>358.8397107875653</v>
      </c>
      <c r="AE275" s="17">
        <f t="shared" si="139"/>
        <v>1.1710314887929418</v>
      </c>
    </row>
    <row r="276" spans="1:31" ht="15">
      <c r="A276" s="43" t="s">
        <v>707</v>
      </c>
      <c r="B276" s="31" t="s">
        <v>336</v>
      </c>
      <c r="C276" s="7">
        <v>572624</v>
      </c>
      <c r="D276" s="7">
        <v>1650</v>
      </c>
      <c r="E276" s="7">
        <v>8</v>
      </c>
      <c r="F276" s="8">
        <f aca="true" t="shared" si="141" ref="F276:F283">C276/D276/60*E276</f>
        <v>46.27264646464646</v>
      </c>
      <c r="G276" s="37">
        <v>389340</v>
      </c>
      <c r="H276" s="7">
        <v>1925</v>
      </c>
      <c r="I276" s="7">
        <v>4</v>
      </c>
      <c r="J276" s="8">
        <f aca="true" t="shared" si="142" ref="J276:J283">G276/H276/60*I276</f>
        <v>13.483636363636363</v>
      </c>
      <c r="K276" s="8">
        <v>310748.5</v>
      </c>
      <c r="L276" s="7">
        <v>846720</v>
      </c>
      <c r="M276" s="7">
        <v>7</v>
      </c>
      <c r="N276" s="8">
        <f t="shared" si="111"/>
        <v>2.569018683862434</v>
      </c>
      <c r="O276" s="8">
        <f t="shared" si="136"/>
        <v>62.32530151214526</v>
      </c>
      <c r="P276" s="8">
        <f t="shared" si="140"/>
        <v>18.822241056667867</v>
      </c>
      <c r="Q276" s="58">
        <f t="shared" si="138"/>
        <v>63.571807542388164</v>
      </c>
      <c r="R276" s="78">
        <f>0.22*2+1.1888*5+2.8+5+1.635*2+0.33*3+14*2</f>
        <v>46.444</v>
      </c>
      <c r="S276" s="79">
        <v>46.444</v>
      </c>
      <c r="T276" s="21">
        <f t="shared" si="131"/>
        <v>51.08840000000001</v>
      </c>
      <c r="U276" s="9">
        <f t="shared" si="110"/>
        <v>198.37676879506373</v>
      </c>
      <c r="V276" s="8">
        <f aca="true" t="shared" si="143" ref="V276:V283">U276*25%</f>
        <v>49.59419219876593</v>
      </c>
      <c r="W276" s="52">
        <f t="shared" si="137"/>
        <v>247.97096099382966</v>
      </c>
      <c r="X276" s="22"/>
      <c r="Y276" s="7"/>
      <c r="Z276" s="20">
        <v>216</v>
      </c>
      <c r="AB276" s="4">
        <v>160</v>
      </c>
      <c r="AC276" s="14"/>
      <c r="AD276" s="56">
        <v>216.32530681201146</v>
      </c>
      <c r="AE276" s="17">
        <f t="shared" si="139"/>
        <v>1.1462873421893194</v>
      </c>
    </row>
    <row r="277" spans="1:31" ht="15">
      <c r="A277" s="43" t="s">
        <v>708</v>
      </c>
      <c r="B277" s="31" t="s">
        <v>333</v>
      </c>
      <c r="C277" s="7">
        <v>572624</v>
      </c>
      <c r="D277" s="7">
        <v>1650</v>
      </c>
      <c r="E277" s="7">
        <v>7</v>
      </c>
      <c r="F277" s="8">
        <f t="shared" si="141"/>
        <v>40.488565656565655</v>
      </c>
      <c r="G277" s="37">
        <v>389340</v>
      </c>
      <c r="H277" s="7">
        <v>1925</v>
      </c>
      <c r="I277" s="7">
        <v>4</v>
      </c>
      <c r="J277" s="8">
        <f t="shared" si="142"/>
        <v>13.483636363636363</v>
      </c>
      <c r="K277" s="7">
        <v>0</v>
      </c>
      <c r="L277" s="7">
        <v>1</v>
      </c>
      <c r="M277" s="7">
        <v>0</v>
      </c>
      <c r="N277" s="8">
        <f t="shared" si="111"/>
        <v>0</v>
      </c>
      <c r="O277" s="8">
        <f t="shared" si="136"/>
        <v>53.97220202020202</v>
      </c>
      <c r="P277" s="8">
        <f t="shared" si="140"/>
        <v>16.299605010101008</v>
      </c>
      <c r="Q277" s="58">
        <f t="shared" si="138"/>
        <v>55.05164606060606</v>
      </c>
      <c r="R277" s="78">
        <f aca="true" t="shared" si="144" ref="R277:R282">0.22*2+1.1888*5+2.8+1.866+18+1*5+11+0.367*3+9.17*2+14*2+1.88*3</f>
        <v>98.131</v>
      </c>
      <c r="S277" s="79">
        <v>98.131</v>
      </c>
      <c r="T277" s="21">
        <f t="shared" si="131"/>
        <v>107.9441</v>
      </c>
      <c r="U277" s="9">
        <f t="shared" si="110"/>
        <v>233.26755309090908</v>
      </c>
      <c r="V277" s="8">
        <f t="shared" si="143"/>
        <v>58.31688827272727</v>
      </c>
      <c r="W277" s="52">
        <f t="shared" si="137"/>
        <v>291.58444136363636</v>
      </c>
      <c r="X277" s="22"/>
      <c r="Y277" s="7"/>
      <c r="Z277" s="20">
        <v>254</v>
      </c>
      <c r="AB277" s="4">
        <v>255</v>
      </c>
      <c r="AC277" s="14"/>
      <c r="AD277" s="56">
        <v>254.26508693506491</v>
      </c>
      <c r="AE277" s="17">
        <f t="shared" si="139"/>
        <v>1.1467734122620703</v>
      </c>
    </row>
    <row r="278" spans="1:31" ht="15">
      <c r="A278" s="43" t="s">
        <v>709</v>
      </c>
      <c r="B278" s="31" t="s">
        <v>334</v>
      </c>
      <c r="C278" s="7">
        <v>572624</v>
      </c>
      <c r="D278" s="7">
        <v>1650</v>
      </c>
      <c r="E278" s="7">
        <v>7</v>
      </c>
      <c r="F278" s="8">
        <f t="shared" si="141"/>
        <v>40.488565656565655</v>
      </c>
      <c r="G278" s="37">
        <v>389340</v>
      </c>
      <c r="H278" s="7">
        <v>1925</v>
      </c>
      <c r="I278" s="7">
        <v>4</v>
      </c>
      <c r="J278" s="8">
        <f t="shared" si="142"/>
        <v>13.483636363636363</v>
      </c>
      <c r="K278" s="7">
        <v>0</v>
      </c>
      <c r="L278" s="7">
        <v>1</v>
      </c>
      <c r="M278" s="7">
        <v>0</v>
      </c>
      <c r="N278" s="8">
        <f t="shared" si="111"/>
        <v>0</v>
      </c>
      <c r="O278" s="8">
        <f t="shared" si="136"/>
        <v>53.97220202020202</v>
      </c>
      <c r="P278" s="8">
        <f t="shared" si="140"/>
        <v>16.299605010101008</v>
      </c>
      <c r="Q278" s="58">
        <f t="shared" si="138"/>
        <v>55.05164606060606</v>
      </c>
      <c r="R278" s="78">
        <f t="shared" si="144"/>
        <v>98.131</v>
      </c>
      <c r="S278" s="79">
        <v>98.131</v>
      </c>
      <c r="T278" s="21">
        <f t="shared" si="131"/>
        <v>107.9441</v>
      </c>
      <c r="U278" s="9">
        <f t="shared" si="110"/>
        <v>233.26755309090908</v>
      </c>
      <c r="V278" s="8">
        <f t="shared" si="143"/>
        <v>58.31688827272727</v>
      </c>
      <c r="W278" s="52">
        <f t="shared" si="137"/>
        <v>291.58444136363636</v>
      </c>
      <c r="X278" s="22"/>
      <c r="Y278" s="7"/>
      <c r="Z278" s="20">
        <v>254</v>
      </c>
      <c r="AB278" s="4">
        <v>250</v>
      </c>
      <c r="AC278" s="14"/>
      <c r="AD278" s="56">
        <v>254.26508693506491</v>
      </c>
      <c r="AE278" s="17">
        <f t="shared" si="139"/>
        <v>1.1467734122620703</v>
      </c>
    </row>
    <row r="279" spans="1:31" ht="15">
      <c r="A279" s="43" t="s">
        <v>710</v>
      </c>
      <c r="B279" s="31" t="s">
        <v>335</v>
      </c>
      <c r="C279" s="7">
        <v>572624</v>
      </c>
      <c r="D279" s="7">
        <v>1650</v>
      </c>
      <c r="E279" s="7">
        <v>7</v>
      </c>
      <c r="F279" s="8">
        <f t="shared" si="141"/>
        <v>40.488565656565655</v>
      </c>
      <c r="G279" s="37">
        <v>389340</v>
      </c>
      <c r="H279" s="7">
        <v>1925</v>
      </c>
      <c r="I279" s="7">
        <v>4</v>
      </c>
      <c r="J279" s="8">
        <f t="shared" si="142"/>
        <v>13.483636363636363</v>
      </c>
      <c r="K279" s="7">
        <v>0</v>
      </c>
      <c r="L279" s="7">
        <v>1</v>
      </c>
      <c r="M279" s="7">
        <v>0</v>
      </c>
      <c r="N279" s="8">
        <f t="shared" si="111"/>
        <v>0</v>
      </c>
      <c r="O279" s="8">
        <f t="shared" si="136"/>
        <v>53.97220202020202</v>
      </c>
      <c r="P279" s="8">
        <f t="shared" si="140"/>
        <v>16.299605010101008</v>
      </c>
      <c r="Q279" s="58">
        <f t="shared" si="138"/>
        <v>55.05164606060606</v>
      </c>
      <c r="R279" s="78">
        <f t="shared" si="144"/>
        <v>98.131</v>
      </c>
      <c r="S279" s="79">
        <v>98.131</v>
      </c>
      <c r="T279" s="21">
        <f t="shared" si="131"/>
        <v>107.9441</v>
      </c>
      <c r="U279" s="9">
        <f t="shared" si="110"/>
        <v>233.26755309090908</v>
      </c>
      <c r="V279" s="8">
        <f t="shared" si="143"/>
        <v>58.31688827272727</v>
      </c>
      <c r="W279" s="52">
        <f t="shared" si="137"/>
        <v>291.58444136363636</v>
      </c>
      <c r="X279" s="22"/>
      <c r="Y279" s="7"/>
      <c r="Z279" s="20">
        <v>254</v>
      </c>
      <c r="AB279" s="4">
        <v>250</v>
      </c>
      <c r="AC279" s="14"/>
      <c r="AD279" s="56">
        <v>254.26508693506491</v>
      </c>
      <c r="AE279" s="17">
        <f t="shared" si="139"/>
        <v>1.1467734122620703</v>
      </c>
    </row>
    <row r="280" spans="1:31" ht="15">
      <c r="A280" s="43" t="s">
        <v>711</v>
      </c>
      <c r="B280" s="31" t="s">
        <v>391</v>
      </c>
      <c r="C280" s="7">
        <v>572624</v>
      </c>
      <c r="D280" s="7">
        <v>1650</v>
      </c>
      <c r="E280" s="7">
        <v>3</v>
      </c>
      <c r="F280" s="8">
        <f t="shared" si="141"/>
        <v>17.352242424242423</v>
      </c>
      <c r="G280" s="37">
        <v>389340</v>
      </c>
      <c r="H280" s="7">
        <v>1925</v>
      </c>
      <c r="I280" s="7">
        <v>1</v>
      </c>
      <c r="J280" s="8">
        <f t="shared" si="142"/>
        <v>3.3709090909090906</v>
      </c>
      <c r="K280" s="7">
        <v>0</v>
      </c>
      <c r="L280" s="7">
        <v>1</v>
      </c>
      <c r="M280" s="7">
        <v>0</v>
      </c>
      <c r="N280" s="8">
        <f t="shared" si="111"/>
        <v>0</v>
      </c>
      <c r="O280" s="8">
        <f t="shared" si="136"/>
        <v>20.723151515151514</v>
      </c>
      <c r="P280" s="8">
        <f t="shared" si="140"/>
        <v>6.258391757575757</v>
      </c>
      <c r="Q280" s="58">
        <f t="shared" si="138"/>
        <v>21.137614545454543</v>
      </c>
      <c r="R280" s="78">
        <f t="shared" si="144"/>
        <v>98.131</v>
      </c>
      <c r="S280" s="79">
        <v>98.131</v>
      </c>
      <c r="T280" s="21">
        <f t="shared" si="131"/>
        <v>107.9441</v>
      </c>
      <c r="U280" s="9">
        <f t="shared" si="110"/>
        <v>156.06325781818182</v>
      </c>
      <c r="V280" s="8">
        <f t="shared" si="143"/>
        <v>39.015814454545456</v>
      </c>
      <c r="W280" s="52">
        <f t="shared" si="137"/>
        <v>195.07907227272727</v>
      </c>
      <c r="X280" s="22"/>
      <c r="Y280" s="7"/>
      <c r="Z280" s="20">
        <v>254</v>
      </c>
      <c r="AB280" s="4">
        <v>250</v>
      </c>
      <c r="AC280" s="14"/>
      <c r="AD280" s="56">
        <v>172.46329867532467</v>
      </c>
      <c r="AE280" s="17">
        <f t="shared" si="139"/>
        <v>1.1311338341033272</v>
      </c>
    </row>
    <row r="281" spans="1:31" ht="15">
      <c r="A281" s="43" t="s">
        <v>712</v>
      </c>
      <c r="B281" s="31" t="s">
        <v>388</v>
      </c>
      <c r="C281" s="7">
        <v>572624</v>
      </c>
      <c r="D281" s="7">
        <v>1650</v>
      </c>
      <c r="E281" s="7">
        <v>7</v>
      </c>
      <c r="F281" s="8">
        <f t="shared" si="141"/>
        <v>40.488565656565655</v>
      </c>
      <c r="G281" s="37">
        <v>389340</v>
      </c>
      <c r="H281" s="7">
        <v>1925</v>
      </c>
      <c r="I281" s="7">
        <v>4</v>
      </c>
      <c r="J281" s="8">
        <f t="shared" si="142"/>
        <v>13.483636363636363</v>
      </c>
      <c r="K281" s="7">
        <v>0</v>
      </c>
      <c r="L281" s="7">
        <v>1</v>
      </c>
      <c r="M281" s="7">
        <v>0</v>
      </c>
      <c r="N281" s="8">
        <f>K281/L281*M281</f>
        <v>0</v>
      </c>
      <c r="O281" s="8">
        <f>F281+J281+N281</f>
        <v>53.97220202020202</v>
      </c>
      <c r="P281" s="8">
        <f>O281*0.302</f>
        <v>16.299605010101008</v>
      </c>
      <c r="Q281" s="58">
        <f t="shared" si="138"/>
        <v>55.05164606060606</v>
      </c>
      <c r="R281" s="78">
        <f t="shared" si="144"/>
        <v>98.131</v>
      </c>
      <c r="S281" s="79">
        <v>98.131</v>
      </c>
      <c r="T281" s="21">
        <f t="shared" si="131"/>
        <v>107.9441</v>
      </c>
      <c r="U281" s="9">
        <f t="shared" si="110"/>
        <v>233.26755309090908</v>
      </c>
      <c r="V281" s="8">
        <f t="shared" si="143"/>
        <v>58.31688827272727</v>
      </c>
      <c r="W281" s="52">
        <f>U281+V281</f>
        <v>291.58444136363636</v>
      </c>
      <c r="X281" s="22"/>
      <c r="Y281" s="7"/>
      <c r="Z281" s="20">
        <v>254</v>
      </c>
      <c r="AB281" s="4">
        <v>250</v>
      </c>
      <c r="AC281" s="14"/>
      <c r="AD281" s="56">
        <v>254.26508693506491</v>
      </c>
      <c r="AE281" s="17">
        <f t="shared" si="139"/>
        <v>1.1467734122620703</v>
      </c>
    </row>
    <row r="282" spans="1:31" ht="15">
      <c r="A282" s="43" t="s">
        <v>713</v>
      </c>
      <c r="B282" s="31" t="s">
        <v>429</v>
      </c>
      <c r="C282" s="7">
        <v>572624</v>
      </c>
      <c r="D282" s="7">
        <v>1650</v>
      </c>
      <c r="E282" s="7">
        <v>6</v>
      </c>
      <c r="F282" s="8">
        <f t="shared" si="141"/>
        <v>34.704484848484846</v>
      </c>
      <c r="G282" s="37">
        <v>389340</v>
      </c>
      <c r="H282" s="7">
        <v>1925</v>
      </c>
      <c r="I282" s="7">
        <v>6</v>
      </c>
      <c r="J282" s="8">
        <f t="shared" si="142"/>
        <v>20.225454545454543</v>
      </c>
      <c r="K282" s="7">
        <v>0</v>
      </c>
      <c r="L282" s="7">
        <v>1</v>
      </c>
      <c r="M282" s="7">
        <v>0</v>
      </c>
      <c r="N282" s="8">
        <f>K282/L282*M282</f>
        <v>0</v>
      </c>
      <c r="O282" s="8">
        <f>F282+J282+N282</f>
        <v>54.92993939393939</v>
      </c>
      <c r="P282" s="8">
        <f>O282*0.302</f>
        <v>16.588841696969695</v>
      </c>
      <c r="Q282" s="58">
        <f t="shared" si="138"/>
        <v>56.02853818181818</v>
      </c>
      <c r="R282" s="78">
        <f t="shared" si="144"/>
        <v>98.131</v>
      </c>
      <c r="S282" s="79">
        <v>98.131</v>
      </c>
      <c r="T282" s="21">
        <f t="shared" si="131"/>
        <v>107.9441</v>
      </c>
      <c r="U282" s="9">
        <f t="shared" si="110"/>
        <v>235.49141927272728</v>
      </c>
      <c r="V282" s="8">
        <f t="shared" si="143"/>
        <v>58.87285481818182</v>
      </c>
      <c r="W282" s="52">
        <f>U282+V282</f>
        <v>294.36427409090913</v>
      </c>
      <c r="X282" s="22"/>
      <c r="Y282" s="7"/>
      <c r="Z282" s="20">
        <v>254</v>
      </c>
      <c r="AB282" s="4">
        <v>250</v>
      </c>
      <c r="AC282" s="14"/>
      <c r="AD282" s="56">
        <v>254.26508693506491</v>
      </c>
      <c r="AE282" s="17">
        <f t="shared" si="139"/>
        <v>1.1577062255742758</v>
      </c>
    </row>
    <row r="283" spans="1:31" ht="15">
      <c r="A283" s="43" t="s">
        <v>714</v>
      </c>
      <c r="B283" s="31" t="s">
        <v>390</v>
      </c>
      <c r="C283" s="7">
        <v>572624</v>
      </c>
      <c r="D283" s="7">
        <v>1650</v>
      </c>
      <c r="E283" s="7">
        <v>3</v>
      </c>
      <c r="F283" s="8">
        <f t="shared" si="141"/>
        <v>17.352242424242423</v>
      </c>
      <c r="G283" s="37">
        <v>389340</v>
      </c>
      <c r="H283" s="7">
        <v>1925</v>
      </c>
      <c r="I283" s="7">
        <v>1</v>
      </c>
      <c r="J283" s="8">
        <f t="shared" si="142"/>
        <v>3.3709090909090906</v>
      </c>
      <c r="K283" s="7">
        <v>0</v>
      </c>
      <c r="L283" s="7">
        <v>1</v>
      </c>
      <c r="M283" s="7">
        <v>0</v>
      </c>
      <c r="N283" s="8">
        <f>K283/L283*M283</f>
        <v>0</v>
      </c>
      <c r="O283" s="8">
        <f>F283+J283+N283</f>
        <v>20.723151515151514</v>
      </c>
      <c r="P283" s="8">
        <f>O283*0.302</f>
        <v>6.258391757575757</v>
      </c>
      <c r="Q283" s="58">
        <f t="shared" si="138"/>
        <v>21.137614545454543</v>
      </c>
      <c r="R283" s="78">
        <f>0.22+2+2.8+1.866</f>
        <v>6.885999999999999</v>
      </c>
      <c r="S283" s="79">
        <v>6.885999999999999</v>
      </c>
      <c r="T283" s="21">
        <f t="shared" si="131"/>
        <v>7.574599999999999</v>
      </c>
      <c r="U283" s="9">
        <f t="shared" si="110"/>
        <v>55.693757818181815</v>
      </c>
      <c r="V283" s="8">
        <f t="shared" si="143"/>
        <v>13.923439454545454</v>
      </c>
      <c r="W283" s="52">
        <f>U283+V283</f>
        <v>69.61719727272727</v>
      </c>
      <c r="X283" s="22"/>
      <c r="Y283" s="7"/>
      <c r="Z283" s="20"/>
      <c r="AB283" s="4">
        <v>250</v>
      </c>
      <c r="AC283" s="14"/>
      <c r="AD283" s="56">
        <v>58.407048675324674</v>
      </c>
      <c r="AE283" s="17">
        <f t="shared" si="139"/>
        <v>1.1919314338191953</v>
      </c>
    </row>
    <row r="284" spans="1:29" ht="15">
      <c r="A284" s="43"/>
      <c r="B284" s="85" t="s">
        <v>143</v>
      </c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7"/>
      <c r="S284" s="87"/>
      <c r="T284" s="86"/>
      <c r="U284" s="86"/>
      <c r="V284" s="86"/>
      <c r="W284" s="88"/>
      <c r="X284" s="23"/>
      <c r="Y284" s="21"/>
      <c r="Z284" s="20"/>
      <c r="AC284" s="14"/>
    </row>
    <row r="285" spans="1:31" ht="15">
      <c r="A285" s="43" t="s">
        <v>715</v>
      </c>
      <c r="B285" s="31" t="s">
        <v>15</v>
      </c>
      <c r="C285" s="7">
        <v>572624</v>
      </c>
      <c r="D285" s="7">
        <v>1650</v>
      </c>
      <c r="E285" s="7">
        <v>14</v>
      </c>
      <c r="F285" s="8">
        <f aca="true" t="shared" si="145" ref="F285:F290">C285/D285/60*E285</f>
        <v>80.97713131313131</v>
      </c>
      <c r="G285" s="37">
        <v>389340</v>
      </c>
      <c r="H285" s="7">
        <v>1925</v>
      </c>
      <c r="I285" s="7">
        <v>8</v>
      </c>
      <c r="J285" s="8">
        <f aca="true" t="shared" si="146" ref="J285:J290">G285/H285/60*I285</f>
        <v>26.967272727272725</v>
      </c>
      <c r="K285" s="7">
        <f>61050+35000</f>
        <v>96050</v>
      </c>
      <c r="L285" s="7">
        <v>846720</v>
      </c>
      <c r="M285" s="7">
        <v>30</v>
      </c>
      <c r="N285" s="8">
        <f t="shared" si="111"/>
        <v>3.4031320861678003</v>
      </c>
      <c r="O285" s="8">
        <f aca="true" t="shared" si="147" ref="O285:O290">F285+J285+N285</f>
        <v>111.34753612657184</v>
      </c>
      <c r="P285" s="8">
        <f aca="true" t="shared" si="148" ref="P285:P290">O285*0.302</f>
        <v>33.626955910224694</v>
      </c>
      <c r="Q285" s="58">
        <f aca="true" t="shared" si="149" ref="Q285:Q290">(O285)*102%</f>
        <v>113.57448684910328</v>
      </c>
      <c r="R285" s="78">
        <f>21+5+5.8*5+1.849*15</f>
        <v>82.735</v>
      </c>
      <c r="S285" s="79">
        <v>82.735</v>
      </c>
      <c r="T285" s="21">
        <f t="shared" si="131"/>
        <v>91.00850000000001</v>
      </c>
      <c r="U285" s="9">
        <f t="shared" si="110"/>
        <v>352.9606109720676</v>
      </c>
      <c r="V285" s="8">
        <f t="shared" si="128"/>
        <v>88.2401527430169</v>
      </c>
      <c r="W285" s="52">
        <f aca="true" t="shared" si="150" ref="W285:W290">U285+V285</f>
        <v>441.2007637150845</v>
      </c>
      <c r="X285" s="22">
        <f aca="true" t="shared" si="151" ref="X285:X290">Z285*1.1</f>
        <v>372.90000000000003</v>
      </c>
      <c r="Y285" s="7"/>
      <c r="Z285" s="20">
        <v>339</v>
      </c>
      <c r="AA285" s="4">
        <v>235</v>
      </c>
      <c r="AB285" s="4">
        <v>300</v>
      </c>
      <c r="AC285" s="14">
        <f t="shared" si="132"/>
        <v>87.74500583620619</v>
      </c>
      <c r="AD285" s="56">
        <v>373.65046461118845</v>
      </c>
      <c r="AE285" s="17">
        <f t="shared" si="139"/>
        <v>1.180784731993274</v>
      </c>
    </row>
    <row r="286" spans="1:31" ht="15">
      <c r="A286" s="43" t="s">
        <v>716</v>
      </c>
      <c r="B286" s="31" t="s">
        <v>231</v>
      </c>
      <c r="C286" s="7">
        <v>572624</v>
      </c>
      <c r="D286" s="7">
        <v>1650</v>
      </c>
      <c r="E286" s="7">
        <v>19</v>
      </c>
      <c r="F286" s="8">
        <f t="shared" si="145"/>
        <v>109.89753535353535</v>
      </c>
      <c r="G286" s="37">
        <v>389340</v>
      </c>
      <c r="H286" s="7">
        <v>1925</v>
      </c>
      <c r="I286" s="7">
        <v>15</v>
      </c>
      <c r="J286" s="8">
        <f t="shared" si="146"/>
        <v>50.56363636363636</v>
      </c>
      <c r="K286" s="7">
        <v>35000</v>
      </c>
      <c r="L286" s="7">
        <v>846720</v>
      </c>
      <c r="M286" s="7">
        <v>20</v>
      </c>
      <c r="N286" s="8">
        <f aca="true" t="shared" si="152" ref="N286:N332">K286/L286*M286</f>
        <v>0.8267195767195767</v>
      </c>
      <c r="O286" s="8">
        <f t="shared" si="147"/>
        <v>161.28789129389128</v>
      </c>
      <c r="P286" s="8">
        <f t="shared" si="148"/>
        <v>48.70894317075516</v>
      </c>
      <c r="Q286" s="58">
        <f t="shared" si="149"/>
        <v>164.5136491197691</v>
      </c>
      <c r="R286" s="78">
        <f>10+0.22*30+15+100+14</f>
        <v>145.6</v>
      </c>
      <c r="S286" s="79">
        <v>145.6</v>
      </c>
      <c r="T286" s="21">
        <f t="shared" si="131"/>
        <v>160.16</v>
      </c>
      <c r="U286" s="9">
        <f t="shared" si="110"/>
        <v>535.4972031611351</v>
      </c>
      <c r="V286" s="8">
        <f t="shared" si="128"/>
        <v>133.87430079028377</v>
      </c>
      <c r="W286" s="52">
        <f t="shared" si="150"/>
        <v>669.3715039514188</v>
      </c>
      <c r="X286" s="22">
        <f t="shared" si="151"/>
        <v>575.3000000000001</v>
      </c>
      <c r="Y286" s="7"/>
      <c r="Z286" s="20">
        <v>523</v>
      </c>
      <c r="AA286" s="4">
        <v>235</v>
      </c>
      <c r="AB286" s="4">
        <v>500</v>
      </c>
      <c r="AC286" s="14">
        <f t="shared" si="132"/>
        <v>184.8389378516676</v>
      </c>
      <c r="AD286" s="56">
        <v>574.848395951419</v>
      </c>
      <c r="AE286" s="17">
        <f t="shared" si="139"/>
        <v>1.1644313677583753</v>
      </c>
    </row>
    <row r="287" spans="1:31" ht="15">
      <c r="A287" s="43" t="s">
        <v>717</v>
      </c>
      <c r="B287" s="31" t="s">
        <v>232</v>
      </c>
      <c r="C287" s="7">
        <v>572624</v>
      </c>
      <c r="D287" s="7">
        <v>1650</v>
      </c>
      <c r="E287" s="7">
        <v>11</v>
      </c>
      <c r="F287" s="8">
        <f t="shared" si="145"/>
        <v>63.62488888888889</v>
      </c>
      <c r="G287" s="37">
        <v>389340</v>
      </c>
      <c r="H287" s="7">
        <v>1925</v>
      </c>
      <c r="I287" s="7">
        <v>3</v>
      </c>
      <c r="J287" s="8">
        <f t="shared" si="146"/>
        <v>10.112727272727271</v>
      </c>
      <c r="K287" s="7">
        <v>35000</v>
      </c>
      <c r="L287" s="7">
        <v>846720</v>
      </c>
      <c r="M287" s="7">
        <v>10</v>
      </c>
      <c r="N287" s="8">
        <f t="shared" si="152"/>
        <v>0.41335978835978837</v>
      </c>
      <c r="O287" s="8">
        <f t="shared" si="147"/>
        <v>74.15097594997594</v>
      </c>
      <c r="P287" s="8">
        <f t="shared" si="148"/>
        <v>22.393594736892734</v>
      </c>
      <c r="Q287" s="58">
        <f t="shared" si="149"/>
        <v>75.63399546897547</v>
      </c>
      <c r="R287" s="78">
        <f>10+0.22*30+15+100+14</f>
        <v>145.6</v>
      </c>
      <c r="S287" s="79">
        <v>145.6</v>
      </c>
      <c r="T287" s="21">
        <f t="shared" si="131"/>
        <v>160.16</v>
      </c>
      <c r="U287" s="9">
        <f aca="true" t="shared" si="153" ref="U287:U350">N287+O287+P287+Q287+T287</f>
        <v>332.7519259442039</v>
      </c>
      <c r="V287" s="8">
        <f>U287*25%</f>
        <v>83.18798148605097</v>
      </c>
      <c r="W287" s="52">
        <f t="shared" si="150"/>
        <v>415.93990743025483</v>
      </c>
      <c r="X287" s="22">
        <f t="shared" si="151"/>
        <v>353.1</v>
      </c>
      <c r="Y287" s="7"/>
      <c r="Z287" s="20">
        <v>321</v>
      </c>
      <c r="AA287" s="4">
        <v>235</v>
      </c>
      <c r="AB287" s="4">
        <v>300</v>
      </c>
      <c r="AC287" s="14">
        <f t="shared" si="132"/>
        <v>76.99570528947015</v>
      </c>
      <c r="AD287" s="56">
        <v>352.6263289886965</v>
      </c>
      <c r="AE287" s="17">
        <f t="shared" si="139"/>
        <v>1.1795486418247227</v>
      </c>
    </row>
    <row r="288" spans="1:31" ht="15">
      <c r="A288" s="43" t="s">
        <v>718</v>
      </c>
      <c r="B288" s="31" t="s">
        <v>230</v>
      </c>
      <c r="C288" s="7">
        <v>572624</v>
      </c>
      <c r="D288" s="7">
        <v>1650</v>
      </c>
      <c r="E288" s="7">
        <v>1</v>
      </c>
      <c r="F288" s="8">
        <f t="shared" si="145"/>
        <v>5.784080808080808</v>
      </c>
      <c r="G288" s="37">
        <v>389340</v>
      </c>
      <c r="H288" s="7">
        <v>1925</v>
      </c>
      <c r="I288" s="7">
        <v>0</v>
      </c>
      <c r="J288" s="8">
        <f t="shared" si="146"/>
        <v>0</v>
      </c>
      <c r="K288" s="7">
        <v>35000</v>
      </c>
      <c r="L288" s="7">
        <v>846720</v>
      </c>
      <c r="M288" s="7">
        <v>1</v>
      </c>
      <c r="N288" s="8">
        <f t="shared" si="152"/>
        <v>0.04133597883597884</v>
      </c>
      <c r="O288" s="8">
        <f t="shared" si="147"/>
        <v>5.8254167869167865</v>
      </c>
      <c r="P288" s="8">
        <f t="shared" si="148"/>
        <v>1.7592758696488695</v>
      </c>
      <c r="Q288" s="58">
        <f t="shared" si="149"/>
        <v>5.941925122655122</v>
      </c>
      <c r="R288" s="78">
        <f>21+2+0.37*3+1</f>
        <v>25.11</v>
      </c>
      <c r="S288" s="79">
        <v>25.11</v>
      </c>
      <c r="T288" s="21">
        <f>S288*1.05</f>
        <v>26.3655</v>
      </c>
      <c r="U288" s="9">
        <f t="shared" si="153"/>
        <v>39.93345375805676</v>
      </c>
      <c r="V288" s="8">
        <f t="shared" si="128"/>
        <v>9.98336343951419</v>
      </c>
      <c r="W288" s="52">
        <f t="shared" si="150"/>
        <v>49.91681719757095</v>
      </c>
      <c r="X288" s="22">
        <v>40</v>
      </c>
      <c r="Y288" s="7"/>
      <c r="Z288" s="20">
        <v>40</v>
      </c>
      <c r="AA288" s="4">
        <v>68</v>
      </c>
      <c r="AB288" s="4">
        <v>80</v>
      </c>
      <c r="AC288" s="14">
        <f t="shared" si="132"/>
        <v>-26.592915885925066</v>
      </c>
      <c r="AD288" s="56">
        <v>40.45780219757095</v>
      </c>
      <c r="AE288" s="17">
        <f t="shared" si="139"/>
        <v>1.233799526573589</v>
      </c>
    </row>
    <row r="289" spans="1:31" ht="15">
      <c r="A289" s="43" t="s">
        <v>719</v>
      </c>
      <c r="B289" s="31" t="s">
        <v>233</v>
      </c>
      <c r="C289" s="7">
        <v>572624</v>
      </c>
      <c r="D289" s="7">
        <v>1650</v>
      </c>
      <c r="E289" s="7">
        <v>7</v>
      </c>
      <c r="F289" s="8">
        <f t="shared" si="145"/>
        <v>40.488565656565655</v>
      </c>
      <c r="G289" s="37">
        <v>389340</v>
      </c>
      <c r="H289" s="7">
        <v>1925</v>
      </c>
      <c r="I289" s="7">
        <v>6</v>
      </c>
      <c r="J289" s="8">
        <f t="shared" si="146"/>
        <v>20.225454545454543</v>
      </c>
      <c r="K289" s="7">
        <f>249000+35000</f>
        <v>284000</v>
      </c>
      <c r="L289" s="7">
        <v>846720</v>
      </c>
      <c r="M289" s="7">
        <v>7</v>
      </c>
      <c r="N289" s="8">
        <f t="shared" si="152"/>
        <v>2.347883597883598</v>
      </c>
      <c r="O289" s="8">
        <f t="shared" si="147"/>
        <v>63.06190379990379</v>
      </c>
      <c r="P289" s="8">
        <f t="shared" si="148"/>
        <v>19.044694947570942</v>
      </c>
      <c r="Q289" s="58">
        <f t="shared" si="149"/>
        <v>64.32314187590187</v>
      </c>
      <c r="R289" s="78">
        <f>10+0.23*10+0.22*301.866</f>
        <v>78.71051999999999</v>
      </c>
      <c r="S289" s="79">
        <v>78.71051999999999</v>
      </c>
      <c r="T289" s="21">
        <f t="shared" si="131"/>
        <v>86.581572</v>
      </c>
      <c r="U289" s="9">
        <f t="shared" si="153"/>
        <v>235.3591962212602</v>
      </c>
      <c r="V289" s="8">
        <f t="shared" si="128"/>
        <v>58.83979905531505</v>
      </c>
      <c r="W289" s="52">
        <f t="shared" si="150"/>
        <v>294.19899527657526</v>
      </c>
      <c r="X289" s="22">
        <f t="shared" si="151"/>
        <v>246.40000000000003</v>
      </c>
      <c r="Y289" s="7"/>
      <c r="Z289" s="20">
        <v>224</v>
      </c>
      <c r="AA289" s="4">
        <v>442</v>
      </c>
      <c r="AB289" s="4">
        <v>250</v>
      </c>
      <c r="AC289" s="14">
        <f t="shared" si="132"/>
        <v>-33.43914134014135</v>
      </c>
      <c r="AD289" s="56">
        <v>246.84153882202978</v>
      </c>
      <c r="AE289" s="17">
        <f t="shared" si="139"/>
        <v>1.1918536753600848</v>
      </c>
    </row>
    <row r="290" spans="1:31" ht="15">
      <c r="A290" s="43" t="s">
        <v>720</v>
      </c>
      <c r="B290" s="31" t="s">
        <v>234</v>
      </c>
      <c r="C290" s="7">
        <v>572624</v>
      </c>
      <c r="D290" s="7">
        <v>1650</v>
      </c>
      <c r="E290" s="7">
        <v>20</v>
      </c>
      <c r="F290" s="8">
        <f t="shared" si="145"/>
        <v>115.68161616161616</v>
      </c>
      <c r="G290" s="37">
        <v>389340</v>
      </c>
      <c r="H290" s="7">
        <v>1925</v>
      </c>
      <c r="I290" s="7">
        <v>10</v>
      </c>
      <c r="J290" s="8">
        <f t="shared" si="146"/>
        <v>33.709090909090904</v>
      </c>
      <c r="K290" s="7">
        <f>249000+35000</f>
        <v>284000</v>
      </c>
      <c r="L290" s="7">
        <v>846720</v>
      </c>
      <c r="M290" s="7">
        <v>13</v>
      </c>
      <c r="N290" s="8">
        <f t="shared" si="152"/>
        <v>4.360355253212396</v>
      </c>
      <c r="O290" s="8">
        <f t="shared" si="147"/>
        <v>153.75106232391946</v>
      </c>
      <c r="P290" s="8">
        <f t="shared" si="148"/>
        <v>46.432820821823675</v>
      </c>
      <c r="Q290" s="58">
        <f t="shared" si="149"/>
        <v>156.82608357039786</v>
      </c>
      <c r="R290" s="78">
        <f>10+0.23*10+0.22*301.866</f>
        <v>78.71051999999999</v>
      </c>
      <c r="S290" s="79">
        <v>78.71051999999999</v>
      </c>
      <c r="T290" s="21">
        <f t="shared" si="131"/>
        <v>86.581572</v>
      </c>
      <c r="U290" s="9">
        <f t="shared" si="153"/>
        <v>447.95189396935336</v>
      </c>
      <c r="V290" s="8">
        <f>U290*25%</f>
        <v>111.98797349233834</v>
      </c>
      <c r="W290" s="52">
        <f t="shared" si="150"/>
        <v>559.9398674616917</v>
      </c>
      <c r="X290" s="22">
        <f t="shared" si="151"/>
        <v>478.50000000000006</v>
      </c>
      <c r="Y290" s="7"/>
      <c r="Z290" s="20">
        <v>435</v>
      </c>
      <c r="AB290" s="4">
        <v>500</v>
      </c>
      <c r="AC290" s="14"/>
      <c r="AD290" s="56">
        <v>479.21400446169173</v>
      </c>
      <c r="AE290" s="17">
        <f t="shared" si="139"/>
        <v>1.1684547242952146</v>
      </c>
    </row>
    <row r="291" spans="1:29" ht="15">
      <c r="A291" s="43"/>
      <c r="B291" s="85" t="s">
        <v>341</v>
      </c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7"/>
      <c r="S291" s="87"/>
      <c r="T291" s="86"/>
      <c r="U291" s="86"/>
      <c r="V291" s="86"/>
      <c r="W291" s="88"/>
      <c r="X291" s="23"/>
      <c r="Y291" s="21"/>
      <c r="Z291" s="20"/>
      <c r="AC291" s="14"/>
    </row>
    <row r="292" spans="1:31" ht="15">
      <c r="A292" s="43" t="s">
        <v>721</v>
      </c>
      <c r="B292" s="31" t="s">
        <v>218</v>
      </c>
      <c r="C292" s="7">
        <v>572624</v>
      </c>
      <c r="D292" s="7">
        <v>1650</v>
      </c>
      <c r="E292" s="7">
        <v>4</v>
      </c>
      <c r="F292" s="8">
        <f>C292/D292/60*E292</f>
        <v>23.13632323232323</v>
      </c>
      <c r="G292" s="37">
        <v>389340</v>
      </c>
      <c r="H292" s="7">
        <v>1925</v>
      </c>
      <c r="I292" s="7">
        <v>1</v>
      </c>
      <c r="J292" s="8">
        <f aca="true" t="shared" si="154" ref="J292:J298">G292/H292/60*I292</f>
        <v>3.3709090909090906</v>
      </c>
      <c r="K292" s="7">
        <v>0</v>
      </c>
      <c r="L292" s="7">
        <v>1</v>
      </c>
      <c r="M292" s="7">
        <v>0</v>
      </c>
      <c r="N292" s="8">
        <f t="shared" si="152"/>
        <v>0</v>
      </c>
      <c r="O292" s="8">
        <f aca="true" t="shared" si="155" ref="O292:O310">F292+J292+N292</f>
        <v>26.507232323232323</v>
      </c>
      <c r="P292" s="8">
        <f>O292*0.302</f>
        <v>8.005184161616162</v>
      </c>
      <c r="Q292" s="58">
        <f aca="true" t="shared" si="156" ref="Q292:Q310">(O292)*102%</f>
        <v>27.037376969696968</v>
      </c>
      <c r="R292" s="78">
        <f>14+0.9*2+6+2.3</f>
        <v>24.1</v>
      </c>
      <c r="S292" s="79">
        <v>24.1</v>
      </c>
      <c r="T292" s="21">
        <f t="shared" si="131"/>
        <v>26.510000000000005</v>
      </c>
      <c r="U292" s="9">
        <f t="shared" si="153"/>
        <v>88.05979345454546</v>
      </c>
      <c r="V292" s="8">
        <f>U292*25%</f>
        <v>22.014948363636364</v>
      </c>
      <c r="W292" s="52">
        <f aca="true" t="shared" si="157" ref="W292:W310">U292+V292</f>
        <v>110.07474181818182</v>
      </c>
      <c r="X292" s="22"/>
      <c r="Y292" s="7"/>
      <c r="Z292" s="20">
        <v>119</v>
      </c>
      <c r="AB292" s="4">
        <v>100</v>
      </c>
      <c r="AC292" s="14"/>
      <c r="AD292" s="56">
        <v>94.12947916883115</v>
      </c>
      <c r="AE292" s="17">
        <f t="shared" si="139"/>
        <v>1.1693971196924522</v>
      </c>
    </row>
    <row r="293" spans="1:31" ht="15">
      <c r="A293" s="43" t="s">
        <v>722</v>
      </c>
      <c r="B293" s="31" t="s">
        <v>219</v>
      </c>
      <c r="C293" s="7">
        <v>572624</v>
      </c>
      <c r="D293" s="7">
        <v>1650</v>
      </c>
      <c r="E293" s="7">
        <v>9</v>
      </c>
      <c r="F293" s="8">
        <f aca="true" t="shared" si="158" ref="F293:F301">C293/D293/60*E293</f>
        <v>52.05672727272727</v>
      </c>
      <c r="G293" s="37">
        <v>389340</v>
      </c>
      <c r="H293" s="7">
        <v>1925</v>
      </c>
      <c r="I293" s="7">
        <v>6</v>
      </c>
      <c r="J293" s="8">
        <f t="shared" si="154"/>
        <v>20.225454545454543</v>
      </c>
      <c r="K293" s="7">
        <v>0</v>
      </c>
      <c r="L293" s="7">
        <v>1</v>
      </c>
      <c r="M293" s="7">
        <v>0</v>
      </c>
      <c r="N293" s="8">
        <f t="shared" si="152"/>
        <v>0</v>
      </c>
      <c r="O293" s="8">
        <f t="shared" si="155"/>
        <v>72.28218181818181</v>
      </c>
      <c r="P293" s="8">
        <f aca="true" t="shared" si="159" ref="P293:P310">O293*0.302</f>
        <v>21.829218909090905</v>
      </c>
      <c r="Q293" s="58">
        <f t="shared" si="156"/>
        <v>73.72782545454545</v>
      </c>
      <c r="R293" s="78">
        <f>2.6+2.6+0.83+14</f>
        <v>20.03</v>
      </c>
      <c r="S293" s="79">
        <v>20.03</v>
      </c>
      <c r="T293" s="21">
        <f t="shared" si="131"/>
        <v>22.033000000000005</v>
      </c>
      <c r="U293" s="9">
        <f t="shared" si="153"/>
        <v>189.87222618181818</v>
      </c>
      <c r="V293" s="8">
        <f t="shared" si="128"/>
        <v>47.468056545454544</v>
      </c>
      <c r="W293" s="52">
        <f t="shared" si="157"/>
        <v>237.34028272727272</v>
      </c>
      <c r="X293" s="22">
        <v>200</v>
      </c>
      <c r="Y293" s="7"/>
      <c r="Z293" s="20">
        <v>148</v>
      </c>
      <c r="AA293" s="4">
        <v>124</v>
      </c>
      <c r="AB293" s="4">
        <v>150</v>
      </c>
      <c r="AC293" s="14">
        <f t="shared" si="132"/>
        <v>91.40345381231671</v>
      </c>
      <c r="AD293" s="56">
        <v>202.846007012987</v>
      </c>
      <c r="AE293" s="17">
        <f t="shared" si="139"/>
        <v>1.1700515392056856</v>
      </c>
    </row>
    <row r="294" spans="1:31" ht="15">
      <c r="A294" s="43" t="s">
        <v>723</v>
      </c>
      <c r="B294" s="31" t="s">
        <v>220</v>
      </c>
      <c r="C294" s="7">
        <v>572624</v>
      </c>
      <c r="D294" s="7">
        <v>1650</v>
      </c>
      <c r="E294" s="7">
        <v>9</v>
      </c>
      <c r="F294" s="8">
        <f t="shared" si="158"/>
        <v>52.05672727272727</v>
      </c>
      <c r="G294" s="37">
        <v>389340</v>
      </c>
      <c r="H294" s="7">
        <v>1925</v>
      </c>
      <c r="I294" s="7">
        <v>5</v>
      </c>
      <c r="J294" s="8">
        <f t="shared" si="154"/>
        <v>16.854545454545452</v>
      </c>
      <c r="K294" s="7">
        <v>1600</v>
      </c>
      <c r="L294" s="7">
        <v>846720</v>
      </c>
      <c r="M294" s="7">
        <v>10</v>
      </c>
      <c r="N294" s="8">
        <f t="shared" si="152"/>
        <v>0.01889644746787604</v>
      </c>
      <c r="O294" s="8">
        <f t="shared" si="155"/>
        <v>68.9301691747406</v>
      </c>
      <c r="P294" s="8">
        <f t="shared" si="159"/>
        <v>20.81691109077166</v>
      </c>
      <c r="Q294" s="58">
        <f t="shared" si="156"/>
        <v>70.30877255823542</v>
      </c>
      <c r="R294" s="78">
        <f>0.508*100+14</f>
        <v>64.8</v>
      </c>
      <c r="S294" s="79">
        <v>64.8</v>
      </c>
      <c r="T294" s="21">
        <f t="shared" si="131"/>
        <v>71.28</v>
      </c>
      <c r="U294" s="9">
        <f t="shared" si="153"/>
        <v>231.35474927121558</v>
      </c>
      <c r="V294" s="8">
        <f t="shared" si="128"/>
        <v>57.838687317803895</v>
      </c>
      <c r="W294" s="52">
        <f t="shared" si="157"/>
        <v>289.1934365890195</v>
      </c>
      <c r="X294" s="22"/>
      <c r="Y294" s="7"/>
      <c r="Z294" s="20">
        <v>148</v>
      </c>
      <c r="AA294" s="4">
        <v>124</v>
      </c>
      <c r="AB294" s="4">
        <v>150</v>
      </c>
      <c r="AC294" s="14">
        <f t="shared" si="132"/>
        <v>133.22051337824152</v>
      </c>
      <c r="AD294" s="56">
        <v>249.98831996564286</v>
      </c>
      <c r="AE294" s="17">
        <f t="shared" si="139"/>
        <v>1.1568277935095719</v>
      </c>
    </row>
    <row r="295" spans="1:31" ht="15">
      <c r="A295" s="43" t="s">
        <v>724</v>
      </c>
      <c r="B295" s="31" t="s">
        <v>99</v>
      </c>
      <c r="C295" s="7">
        <v>572624</v>
      </c>
      <c r="D295" s="7">
        <v>1650</v>
      </c>
      <c r="E295" s="7">
        <v>8</v>
      </c>
      <c r="F295" s="8">
        <f t="shared" si="158"/>
        <v>46.27264646464646</v>
      </c>
      <c r="G295" s="37">
        <v>389340</v>
      </c>
      <c r="H295" s="7">
        <v>1925</v>
      </c>
      <c r="I295" s="7">
        <v>6</v>
      </c>
      <c r="J295" s="8">
        <f t="shared" si="154"/>
        <v>20.225454545454543</v>
      </c>
      <c r="K295" s="7">
        <v>13556</v>
      </c>
      <c r="L295" s="7">
        <v>846720</v>
      </c>
      <c r="M295" s="7">
        <v>10</v>
      </c>
      <c r="N295" s="8">
        <f t="shared" si="152"/>
        <v>0.16010015117157972</v>
      </c>
      <c r="O295" s="8">
        <f t="shared" si="155"/>
        <v>66.65820116127259</v>
      </c>
      <c r="P295" s="8">
        <f t="shared" si="159"/>
        <v>20.13077675070432</v>
      </c>
      <c r="Q295" s="58">
        <f t="shared" si="156"/>
        <v>67.99136518449804</v>
      </c>
      <c r="R295" s="78">
        <f>5.9+14</f>
        <v>19.9</v>
      </c>
      <c r="S295" s="79">
        <v>19.9</v>
      </c>
      <c r="T295" s="21">
        <f t="shared" si="131"/>
        <v>21.89</v>
      </c>
      <c r="U295" s="9">
        <f t="shared" si="153"/>
        <v>176.83044324764649</v>
      </c>
      <c r="V295" s="8">
        <f t="shared" si="128"/>
        <v>44.20761081191162</v>
      </c>
      <c r="W295" s="52">
        <f t="shared" si="157"/>
        <v>221.0380540595581</v>
      </c>
      <c r="X295" s="22"/>
      <c r="Y295" s="7"/>
      <c r="Z295" s="20">
        <v>186</v>
      </c>
      <c r="AA295" s="4">
        <v>124</v>
      </c>
      <c r="AB295" s="4">
        <v>200</v>
      </c>
      <c r="AC295" s="14">
        <f t="shared" si="132"/>
        <v>78.25649520932103</v>
      </c>
      <c r="AD295" s="56">
        <v>187.3472030985192</v>
      </c>
      <c r="AE295" s="17">
        <f t="shared" si="139"/>
        <v>1.179831085833302</v>
      </c>
    </row>
    <row r="296" spans="1:31" ht="15">
      <c r="A296" s="43" t="s">
        <v>725</v>
      </c>
      <c r="B296" s="31" t="s">
        <v>17</v>
      </c>
      <c r="C296" s="7">
        <v>572624</v>
      </c>
      <c r="D296" s="7">
        <v>1650</v>
      </c>
      <c r="E296" s="7">
        <v>7</v>
      </c>
      <c r="F296" s="8">
        <f t="shared" si="158"/>
        <v>40.488565656565655</v>
      </c>
      <c r="G296" s="37">
        <v>389340</v>
      </c>
      <c r="H296" s="7">
        <v>1925</v>
      </c>
      <c r="I296" s="7">
        <v>4</v>
      </c>
      <c r="J296" s="8">
        <f t="shared" si="154"/>
        <v>13.483636363636363</v>
      </c>
      <c r="K296" s="7">
        <v>8039</v>
      </c>
      <c r="L296" s="7">
        <v>846720</v>
      </c>
      <c r="M296" s="7">
        <v>10</v>
      </c>
      <c r="N296" s="8">
        <f t="shared" si="152"/>
        <v>0.09494283824640967</v>
      </c>
      <c r="O296" s="8">
        <f t="shared" si="155"/>
        <v>54.06714485844843</v>
      </c>
      <c r="P296" s="8">
        <f t="shared" si="159"/>
        <v>16.328277747251427</v>
      </c>
      <c r="Q296" s="58">
        <f t="shared" si="156"/>
        <v>55.148487755617396</v>
      </c>
      <c r="R296" s="78">
        <f>1.99+11</f>
        <v>12.99</v>
      </c>
      <c r="S296" s="79">
        <v>12.99</v>
      </c>
      <c r="T296" s="21">
        <f t="shared" si="131"/>
        <v>14.289000000000001</v>
      </c>
      <c r="U296" s="9">
        <f t="shared" si="153"/>
        <v>139.92785319956369</v>
      </c>
      <c r="V296" s="8">
        <f t="shared" si="128"/>
        <v>34.98196329989092</v>
      </c>
      <c r="W296" s="52">
        <f t="shared" si="157"/>
        <v>174.90981649945462</v>
      </c>
      <c r="X296" s="22"/>
      <c r="Y296" s="7"/>
      <c r="Z296" s="20">
        <v>148</v>
      </c>
      <c r="AA296" s="4">
        <v>124</v>
      </c>
      <c r="AB296" s="4">
        <v>150</v>
      </c>
      <c r="AC296" s="14">
        <f t="shared" si="132"/>
        <v>41.05630362859242</v>
      </c>
      <c r="AD296" s="56">
        <v>148.23308707088313</v>
      </c>
      <c r="AE296" s="17">
        <f t="shared" si="139"/>
        <v>1.179964743065865</v>
      </c>
    </row>
    <row r="297" spans="1:31" ht="15">
      <c r="A297" s="43" t="s">
        <v>726</v>
      </c>
      <c r="B297" s="31" t="s">
        <v>221</v>
      </c>
      <c r="C297" s="7">
        <v>572624</v>
      </c>
      <c r="D297" s="7">
        <v>1650</v>
      </c>
      <c r="E297" s="7">
        <v>6</v>
      </c>
      <c r="F297" s="8">
        <f t="shared" si="158"/>
        <v>34.704484848484846</v>
      </c>
      <c r="G297" s="37">
        <v>389340</v>
      </c>
      <c r="H297" s="7">
        <v>1925</v>
      </c>
      <c r="I297" s="7">
        <v>3</v>
      </c>
      <c r="J297" s="8">
        <f t="shared" si="154"/>
        <v>10.112727272727271</v>
      </c>
      <c r="K297" s="7">
        <v>0</v>
      </c>
      <c r="L297" s="7">
        <v>1</v>
      </c>
      <c r="M297" s="7">
        <v>0</v>
      </c>
      <c r="N297" s="8">
        <f t="shared" si="152"/>
        <v>0</v>
      </c>
      <c r="O297" s="8">
        <f t="shared" si="155"/>
        <v>44.817212121212116</v>
      </c>
      <c r="P297" s="8">
        <f t="shared" si="159"/>
        <v>13.53479806060606</v>
      </c>
      <c r="Q297" s="58">
        <f t="shared" si="156"/>
        <v>45.71355636363636</v>
      </c>
      <c r="R297" s="78">
        <f>3.6+5.9+0.508*100+0.98*2+1.635*2+12+2+14</f>
        <v>93.53</v>
      </c>
      <c r="S297" s="79">
        <v>93.53</v>
      </c>
      <c r="T297" s="21">
        <f t="shared" si="131"/>
        <v>102.88300000000001</v>
      </c>
      <c r="U297" s="9">
        <f t="shared" si="153"/>
        <v>206.94856654545453</v>
      </c>
      <c r="V297" s="8">
        <f t="shared" si="128"/>
        <v>51.73714163636363</v>
      </c>
      <c r="W297" s="52">
        <f t="shared" si="157"/>
        <v>258.68570818181814</v>
      </c>
      <c r="X297" s="22">
        <v>220</v>
      </c>
      <c r="Y297" s="7"/>
      <c r="Z297" s="20">
        <v>186</v>
      </c>
      <c r="AA297" s="4">
        <v>124</v>
      </c>
      <c r="AB297" s="4">
        <v>200</v>
      </c>
      <c r="AC297" s="14">
        <f t="shared" si="132"/>
        <v>108.61750659824045</v>
      </c>
      <c r="AD297" s="56">
        <v>225.4102518961039</v>
      </c>
      <c r="AE297" s="17">
        <f t="shared" si="139"/>
        <v>1.1476217519203677</v>
      </c>
    </row>
    <row r="298" spans="1:31" ht="36" customHeight="1">
      <c r="A298" s="43" t="s">
        <v>727</v>
      </c>
      <c r="B298" s="31" t="s">
        <v>222</v>
      </c>
      <c r="C298" s="7">
        <v>572624</v>
      </c>
      <c r="D298" s="7">
        <v>1650</v>
      </c>
      <c r="E298" s="7">
        <v>10</v>
      </c>
      <c r="F298" s="8">
        <f t="shared" si="158"/>
        <v>57.84080808080808</v>
      </c>
      <c r="G298" s="37">
        <v>389340</v>
      </c>
      <c r="H298" s="7">
        <v>1925</v>
      </c>
      <c r="I298" s="7">
        <v>3</v>
      </c>
      <c r="J298" s="8">
        <f t="shared" si="154"/>
        <v>10.112727272727271</v>
      </c>
      <c r="K298" s="7">
        <v>0</v>
      </c>
      <c r="L298" s="7">
        <v>1</v>
      </c>
      <c r="M298" s="7">
        <v>0</v>
      </c>
      <c r="N298" s="8">
        <f t="shared" si="152"/>
        <v>0</v>
      </c>
      <c r="O298" s="8">
        <f t="shared" si="155"/>
        <v>67.95353535353536</v>
      </c>
      <c r="P298" s="8">
        <f t="shared" si="159"/>
        <v>20.521967676767677</v>
      </c>
      <c r="Q298" s="58">
        <f t="shared" si="156"/>
        <v>69.31260606060607</v>
      </c>
      <c r="R298" s="78">
        <f>1+12+14</f>
        <v>27</v>
      </c>
      <c r="S298" s="79">
        <v>27</v>
      </c>
      <c r="T298" s="21">
        <f t="shared" si="131"/>
        <v>29.700000000000003</v>
      </c>
      <c r="U298" s="9">
        <f t="shared" si="153"/>
        <v>187.48810909090912</v>
      </c>
      <c r="V298" s="8">
        <f t="shared" si="128"/>
        <v>46.87202727272728</v>
      </c>
      <c r="W298" s="52">
        <f t="shared" si="157"/>
        <v>234.3601363636364</v>
      </c>
      <c r="X298" s="22">
        <v>200</v>
      </c>
      <c r="Y298" s="7"/>
      <c r="Z298" s="20">
        <v>186</v>
      </c>
      <c r="AA298" s="4">
        <v>124</v>
      </c>
      <c r="AB298" s="4">
        <v>200</v>
      </c>
      <c r="AC298" s="14">
        <f t="shared" si="132"/>
        <v>89.00010997067452</v>
      </c>
      <c r="AD298" s="56">
        <v>202.74214441558442</v>
      </c>
      <c r="AE298" s="17">
        <f t="shared" si="139"/>
        <v>1.1559517486568598</v>
      </c>
    </row>
    <row r="299" spans="1:31" ht="15">
      <c r="A299" s="43" t="s">
        <v>728</v>
      </c>
      <c r="B299" s="31" t="s">
        <v>18</v>
      </c>
      <c r="C299" s="7">
        <v>572624</v>
      </c>
      <c r="D299" s="7">
        <v>1650</v>
      </c>
      <c r="E299" s="7">
        <v>10</v>
      </c>
      <c r="F299" s="8">
        <f t="shared" si="158"/>
        <v>57.84080808080808</v>
      </c>
      <c r="G299" s="37">
        <v>389340</v>
      </c>
      <c r="H299" s="7">
        <v>1925</v>
      </c>
      <c r="I299" s="7">
        <v>8</v>
      </c>
      <c r="J299" s="8">
        <f>G299/H299/60*I299</f>
        <v>26.967272727272725</v>
      </c>
      <c r="K299" s="7">
        <v>0</v>
      </c>
      <c r="L299" s="7">
        <v>1</v>
      </c>
      <c r="M299" s="7">
        <v>0</v>
      </c>
      <c r="N299" s="8">
        <f t="shared" si="152"/>
        <v>0</v>
      </c>
      <c r="O299" s="8">
        <f t="shared" si="155"/>
        <v>84.8080808080808</v>
      </c>
      <c r="P299" s="8">
        <f t="shared" si="159"/>
        <v>25.612040404040403</v>
      </c>
      <c r="Q299" s="58">
        <f t="shared" si="156"/>
        <v>86.50424242424242</v>
      </c>
      <c r="R299" s="78">
        <f>2.3+14+2.3+0.508*100</f>
        <v>69.4</v>
      </c>
      <c r="S299" s="79">
        <v>69.4</v>
      </c>
      <c r="T299" s="21">
        <f t="shared" si="131"/>
        <v>76.34000000000002</v>
      </c>
      <c r="U299" s="9">
        <f t="shared" si="153"/>
        <v>273.26436363636367</v>
      </c>
      <c r="V299" s="8">
        <f aca="true" t="shared" si="160" ref="V299:V308">U299*25%</f>
        <v>68.31609090909092</v>
      </c>
      <c r="W299" s="52">
        <f t="shared" si="157"/>
        <v>341.5804545454546</v>
      </c>
      <c r="X299" s="22">
        <v>290</v>
      </c>
      <c r="Y299" s="7"/>
      <c r="Z299" s="20">
        <v>254</v>
      </c>
      <c r="AA299" s="4">
        <v>124</v>
      </c>
      <c r="AB299" s="4">
        <v>300</v>
      </c>
      <c r="AC299" s="14">
        <f t="shared" si="132"/>
        <v>175.46810850439886</v>
      </c>
      <c r="AD299" s="56">
        <v>291.25447064935065</v>
      </c>
      <c r="AE299" s="17">
        <f t="shared" si="139"/>
        <v>1.1727904254444657</v>
      </c>
    </row>
    <row r="300" spans="1:31" ht="15">
      <c r="A300" s="43" t="s">
        <v>729</v>
      </c>
      <c r="B300" s="31" t="s">
        <v>225</v>
      </c>
      <c r="C300" s="7">
        <v>572624</v>
      </c>
      <c r="D300" s="7">
        <v>1650</v>
      </c>
      <c r="E300" s="7">
        <v>9</v>
      </c>
      <c r="F300" s="8">
        <f t="shared" si="158"/>
        <v>52.05672727272727</v>
      </c>
      <c r="G300" s="37">
        <v>389340</v>
      </c>
      <c r="H300" s="7">
        <v>1925</v>
      </c>
      <c r="I300" s="7">
        <v>5</v>
      </c>
      <c r="J300" s="8">
        <f>G300/H300/60*I300</f>
        <v>16.854545454545452</v>
      </c>
      <c r="K300" s="7">
        <v>0</v>
      </c>
      <c r="L300" s="7">
        <v>1</v>
      </c>
      <c r="M300" s="7">
        <v>0</v>
      </c>
      <c r="N300" s="8">
        <f t="shared" si="152"/>
        <v>0</v>
      </c>
      <c r="O300" s="8">
        <f t="shared" si="155"/>
        <v>68.91127272727272</v>
      </c>
      <c r="P300" s="8">
        <f t="shared" si="159"/>
        <v>20.81120436363636</v>
      </c>
      <c r="Q300" s="58">
        <f t="shared" si="156"/>
        <v>70.28949818181817</v>
      </c>
      <c r="R300" s="78">
        <f>14+1.635+0.508*100</f>
        <v>66.435</v>
      </c>
      <c r="S300" s="79">
        <v>66.435</v>
      </c>
      <c r="T300" s="21">
        <f t="shared" si="131"/>
        <v>73.0785</v>
      </c>
      <c r="U300" s="9">
        <f t="shared" si="153"/>
        <v>233.09047527272725</v>
      </c>
      <c r="V300" s="8">
        <f t="shared" si="160"/>
        <v>58.27261881818181</v>
      </c>
      <c r="W300" s="52">
        <f t="shared" si="157"/>
        <v>291.36309409090904</v>
      </c>
      <c r="X300" s="22">
        <v>250</v>
      </c>
      <c r="Y300" s="7"/>
      <c r="Z300" s="20">
        <v>186</v>
      </c>
      <c r="AB300" s="4">
        <v>200</v>
      </c>
      <c r="AC300" s="14"/>
      <c r="AD300" s="56">
        <v>248.44351581818182</v>
      </c>
      <c r="AE300" s="17">
        <f t="shared" si="139"/>
        <v>1.172753867740855</v>
      </c>
    </row>
    <row r="301" spans="1:31" ht="15">
      <c r="A301" s="43" t="s">
        <v>730</v>
      </c>
      <c r="B301" s="31" t="s">
        <v>223</v>
      </c>
      <c r="C301" s="7">
        <v>572624</v>
      </c>
      <c r="D301" s="7">
        <v>1650</v>
      </c>
      <c r="E301" s="7">
        <v>22</v>
      </c>
      <c r="F301" s="8">
        <f t="shared" si="158"/>
        <v>127.24977777777778</v>
      </c>
      <c r="G301" s="37">
        <v>389340</v>
      </c>
      <c r="H301" s="7">
        <v>1925</v>
      </c>
      <c r="I301" s="7">
        <v>18</v>
      </c>
      <c r="J301" s="8">
        <f>G301/H301/60*I301</f>
        <v>60.67636363636363</v>
      </c>
      <c r="K301" s="7">
        <v>50470</v>
      </c>
      <c r="L301" s="7">
        <v>846720</v>
      </c>
      <c r="M301" s="7">
        <v>20</v>
      </c>
      <c r="N301" s="8">
        <f t="shared" si="152"/>
        <v>1.1921296296296298</v>
      </c>
      <c r="O301" s="8">
        <f t="shared" si="155"/>
        <v>189.11827104377102</v>
      </c>
      <c r="P301" s="8">
        <f t="shared" si="159"/>
        <v>57.113717855218844</v>
      </c>
      <c r="Q301" s="58">
        <f t="shared" si="156"/>
        <v>192.90063646464645</v>
      </c>
      <c r="R301" s="78">
        <f>1.99*2+1.635*2</f>
        <v>7.25</v>
      </c>
      <c r="S301" s="79">
        <v>7.25</v>
      </c>
      <c r="T301" s="21">
        <f t="shared" si="131"/>
        <v>7.9750000000000005</v>
      </c>
      <c r="U301" s="9">
        <f t="shared" si="153"/>
        <v>448.299754993266</v>
      </c>
      <c r="V301" s="8">
        <f t="shared" si="160"/>
        <v>112.0749387483165</v>
      </c>
      <c r="W301" s="52">
        <f t="shared" si="157"/>
        <v>560.3746937415825</v>
      </c>
      <c r="X301" s="22">
        <v>480</v>
      </c>
      <c r="Y301" s="7"/>
      <c r="Z301" s="20">
        <v>418</v>
      </c>
      <c r="AA301" s="4">
        <v>347</v>
      </c>
      <c r="AB301" s="4">
        <v>400</v>
      </c>
      <c r="AC301" s="14">
        <f t="shared" si="132"/>
        <v>61.491266207948854</v>
      </c>
      <c r="AD301" s="56">
        <v>479.84148155976425</v>
      </c>
      <c r="AE301" s="17">
        <f t="shared" si="139"/>
        <v>1.167832951665701</v>
      </c>
    </row>
    <row r="302" spans="1:31" ht="15">
      <c r="A302" s="43" t="s">
        <v>731</v>
      </c>
      <c r="B302" s="31" t="s">
        <v>847</v>
      </c>
      <c r="C302" s="7">
        <v>572624</v>
      </c>
      <c r="D302" s="7">
        <v>1650</v>
      </c>
      <c r="E302" s="7">
        <v>5</v>
      </c>
      <c r="F302" s="8">
        <f aca="true" t="shared" si="161" ref="F302:F308">C302/D302/60*E302</f>
        <v>28.92040404040404</v>
      </c>
      <c r="G302" s="37">
        <v>389340</v>
      </c>
      <c r="H302" s="7">
        <v>1925</v>
      </c>
      <c r="I302" s="7">
        <v>6</v>
      </c>
      <c r="J302" s="8">
        <f>G302/H302/60*I302</f>
        <v>20.225454545454543</v>
      </c>
      <c r="K302" s="7">
        <v>0</v>
      </c>
      <c r="L302" s="7">
        <v>1</v>
      </c>
      <c r="M302" s="7">
        <v>0</v>
      </c>
      <c r="N302" s="8">
        <f t="shared" si="152"/>
        <v>0</v>
      </c>
      <c r="O302" s="8">
        <f t="shared" si="155"/>
        <v>49.14585858585858</v>
      </c>
      <c r="P302" s="8">
        <f t="shared" si="159"/>
        <v>14.84204929292929</v>
      </c>
      <c r="Q302" s="58">
        <f t="shared" si="156"/>
        <v>50.12877575757576</v>
      </c>
      <c r="R302" s="78">
        <f>14+1.849+1.99*2</f>
        <v>19.829</v>
      </c>
      <c r="S302" s="79">
        <v>19.829</v>
      </c>
      <c r="T302" s="21">
        <f t="shared" si="131"/>
        <v>21.8119</v>
      </c>
      <c r="U302" s="9">
        <f t="shared" si="153"/>
        <v>135.92858363636364</v>
      </c>
      <c r="V302" s="8">
        <f t="shared" si="160"/>
        <v>33.98214590909091</v>
      </c>
      <c r="W302" s="52">
        <f t="shared" si="157"/>
        <v>169.91072954545456</v>
      </c>
      <c r="X302" s="22"/>
      <c r="Y302" s="7"/>
      <c r="Z302" s="20">
        <v>148</v>
      </c>
      <c r="AA302" s="4">
        <v>124</v>
      </c>
      <c r="AB302" s="4">
        <v>150</v>
      </c>
      <c r="AC302" s="14">
        <f t="shared" si="132"/>
        <v>37.02478189149562</v>
      </c>
      <c r="AD302" s="56">
        <v>149.28512168831168</v>
      </c>
      <c r="AE302" s="17">
        <f t="shared" si="139"/>
        <v>1.138162514950462</v>
      </c>
    </row>
    <row r="303" spans="1:31" ht="15">
      <c r="A303" s="43" t="s">
        <v>732</v>
      </c>
      <c r="B303" s="31" t="s">
        <v>46</v>
      </c>
      <c r="C303" s="7">
        <v>572624</v>
      </c>
      <c r="D303" s="7">
        <v>1650</v>
      </c>
      <c r="E303" s="7">
        <v>12</v>
      </c>
      <c r="F303" s="8">
        <f t="shared" si="161"/>
        <v>69.40896969696969</v>
      </c>
      <c r="G303" s="37">
        <v>389340</v>
      </c>
      <c r="H303" s="7">
        <v>1925</v>
      </c>
      <c r="I303" s="7">
        <v>10</v>
      </c>
      <c r="J303" s="8">
        <f aca="true" t="shared" si="162" ref="J303:J308">G303/H303/60*I303</f>
        <v>33.709090909090904</v>
      </c>
      <c r="K303" s="7">
        <v>0</v>
      </c>
      <c r="L303" s="7">
        <v>1</v>
      </c>
      <c r="M303" s="7">
        <v>0</v>
      </c>
      <c r="N303" s="8">
        <f t="shared" si="152"/>
        <v>0</v>
      </c>
      <c r="O303" s="8">
        <f t="shared" si="155"/>
        <v>103.1180606060606</v>
      </c>
      <c r="P303" s="8">
        <f t="shared" si="159"/>
        <v>31.1416543030303</v>
      </c>
      <c r="Q303" s="58">
        <f t="shared" si="156"/>
        <v>105.18042181818181</v>
      </c>
      <c r="R303" s="78">
        <f>1.635+2.3+0.508*100</f>
        <v>54.735</v>
      </c>
      <c r="S303" s="79">
        <v>54.735</v>
      </c>
      <c r="T303" s="21">
        <f t="shared" si="131"/>
        <v>60.2085</v>
      </c>
      <c r="U303" s="9">
        <f t="shared" si="153"/>
        <v>299.64863672727273</v>
      </c>
      <c r="V303" s="8">
        <f t="shared" si="160"/>
        <v>74.91215918181818</v>
      </c>
      <c r="W303" s="52">
        <f t="shared" si="157"/>
        <v>374.5607959090909</v>
      </c>
      <c r="X303" s="22">
        <v>320</v>
      </c>
      <c r="Y303" s="7"/>
      <c r="Z303" s="20">
        <v>283</v>
      </c>
      <c r="AA303" s="4">
        <v>124</v>
      </c>
      <c r="AB303" s="4">
        <v>300</v>
      </c>
      <c r="AC303" s="14">
        <f aca="true" t="shared" si="163" ref="AC303:AC364">(100*W303)/AA303-100</f>
        <v>202.0651579912024</v>
      </c>
      <c r="AD303" s="56">
        <v>319.1303907272727</v>
      </c>
      <c r="AE303" s="17">
        <f t="shared" si="139"/>
        <v>1.1736920293159694</v>
      </c>
    </row>
    <row r="304" spans="1:31" ht="15">
      <c r="A304" s="43" t="s">
        <v>733</v>
      </c>
      <c r="B304" s="31" t="s">
        <v>848</v>
      </c>
      <c r="C304" s="7">
        <v>572624</v>
      </c>
      <c r="D304" s="7">
        <v>1650</v>
      </c>
      <c r="E304" s="7">
        <v>8</v>
      </c>
      <c r="F304" s="8">
        <f t="shared" si="161"/>
        <v>46.27264646464646</v>
      </c>
      <c r="G304" s="37">
        <v>389340</v>
      </c>
      <c r="H304" s="7">
        <v>1925</v>
      </c>
      <c r="I304" s="7">
        <v>5</v>
      </c>
      <c r="J304" s="8">
        <f t="shared" si="162"/>
        <v>16.854545454545452</v>
      </c>
      <c r="K304" s="7">
        <v>0</v>
      </c>
      <c r="L304" s="7">
        <v>1</v>
      </c>
      <c r="M304" s="7">
        <v>0</v>
      </c>
      <c r="N304" s="8">
        <f t="shared" si="152"/>
        <v>0</v>
      </c>
      <c r="O304" s="8">
        <f t="shared" si="155"/>
        <v>63.127191919191915</v>
      </c>
      <c r="P304" s="8">
        <f t="shared" si="159"/>
        <v>19.064411959595958</v>
      </c>
      <c r="Q304" s="58">
        <f t="shared" si="156"/>
        <v>64.38973575757575</v>
      </c>
      <c r="R304" s="78">
        <f>14+1+5.9+1.635+0.21*5</f>
        <v>23.585</v>
      </c>
      <c r="S304" s="79">
        <v>23.585</v>
      </c>
      <c r="T304" s="21">
        <f t="shared" si="131"/>
        <v>25.943500000000004</v>
      </c>
      <c r="U304" s="9">
        <f t="shared" si="153"/>
        <v>172.52483963636362</v>
      </c>
      <c r="V304" s="8">
        <f t="shared" si="160"/>
        <v>43.131209909090906</v>
      </c>
      <c r="W304" s="52">
        <f t="shared" si="157"/>
        <v>215.65604954545452</v>
      </c>
      <c r="X304" s="22">
        <v>180</v>
      </c>
      <c r="Y304" s="7"/>
      <c r="Z304" s="20">
        <v>110</v>
      </c>
      <c r="AA304" s="4">
        <v>56</v>
      </c>
      <c r="AB304" s="4">
        <v>150</v>
      </c>
      <c r="AC304" s="14">
        <f t="shared" si="163"/>
        <v>285.10008847402594</v>
      </c>
      <c r="AD304" s="56">
        <v>182.38998267532466</v>
      </c>
      <c r="AE304" s="17">
        <f t="shared" si="139"/>
        <v>1.1823897693402785</v>
      </c>
    </row>
    <row r="305" spans="1:31" ht="15">
      <c r="A305" s="43" t="s">
        <v>734</v>
      </c>
      <c r="B305" s="31" t="s">
        <v>224</v>
      </c>
      <c r="C305" s="7">
        <v>572624</v>
      </c>
      <c r="D305" s="7">
        <v>1650</v>
      </c>
      <c r="E305" s="7">
        <v>7</v>
      </c>
      <c r="F305" s="8">
        <f t="shared" si="161"/>
        <v>40.488565656565655</v>
      </c>
      <c r="G305" s="37">
        <v>389340</v>
      </c>
      <c r="H305" s="7">
        <v>1925</v>
      </c>
      <c r="I305" s="7">
        <v>2</v>
      </c>
      <c r="J305" s="8">
        <f t="shared" si="162"/>
        <v>6.741818181818181</v>
      </c>
      <c r="K305" s="7">
        <v>0</v>
      </c>
      <c r="L305" s="7">
        <v>1</v>
      </c>
      <c r="M305" s="7">
        <v>0</v>
      </c>
      <c r="N305" s="8">
        <f t="shared" si="152"/>
        <v>0</v>
      </c>
      <c r="O305" s="8">
        <f t="shared" si="155"/>
        <v>47.23038383838384</v>
      </c>
      <c r="P305" s="8">
        <f t="shared" si="159"/>
        <v>14.263575919191918</v>
      </c>
      <c r="Q305" s="58">
        <f t="shared" si="156"/>
        <v>48.17499151515151</v>
      </c>
      <c r="R305" s="78">
        <f>14+5.9+0.508*100</f>
        <v>70.69999999999999</v>
      </c>
      <c r="S305" s="79">
        <v>70.69999999999999</v>
      </c>
      <c r="T305" s="21">
        <f t="shared" si="131"/>
        <v>77.77</v>
      </c>
      <c r="U305" s="9">
        <f t="shared" si="153"/>
        <v>187.43895127272725</v>
      </c>
      <c r="V305" s="8">
        <f t="shared" si="160"/>
        <v>46.85973781818181</v>
      </c>
      <c r="W305" s="52">
        <f t="shared" si="157"/>
        <v>234.29868909090908</v>
      </c>
      <c r="X305" s="22">
        <v>200</v>
      </c>
      <c r="Y305" s="7"/>
      <c r="Z305" s="20">
        <v>148</v>
      </c>
      <c r="AA305" s="4">
        <v>124</v>
      </c>
      <c r="AB305" s="4">
        <v>150</v>
      </c>
      <c r="AC305" s="14">
        <f t="shared" si="163"/>
        <v>88.95055571847504</v>
      </c>
      <c r="AD305" s="56">
        <v>198.66894119480517</v>
      </c>
      <c r="AE305" s="17">
        <f t="shared" si="139"/>
        <v>1.179342315320275</v>
      </c>
    </row>
    <row r="306" spans="1:31" ht="15">
      <c r="A306" s="43" t="s">
        <v>735</v>
      </c>
      <c r="B306" s="31" t="s">
        <v>226</v>
      </c>
      <c r="C306" s="7">
        <v>572624</v>
      </c>
      <c r="D306" s="7">
        <v>1650</v>
      </c>
      <c r="E306" s="7">
        <v>9</v>
      </c>
      <c r="F306" s="8">
        <f>C306/D306/60*E306</f>
        <v>52.05672727272727</v>
      </c>
      <c r="G306" s="37">
        <v>389340</v>
      </c>
      <c r="H306" s="7">
        <v>1925</v>
      </c>
      <c r="I306" s="7">
        <v>5</v>
      </c>
      <c r="J306" s="8">
        <f>G306/H306/60*I306</f>
        <v>16.854545454545452</v>
      </c>
      <c r="K306" s="7">
        <v>0</v>
      </c>
      <c r="L306" s="7">
        <v>1</v>
      </c>
      <c r="M306" s="7">
        <v>0</v>
      </c>
      <c r="N306" s="8">
        <f t="shared" si="152"/>
        <v>0</v>
      </c>
      <c r="O306" s="8">
        <f t="shared" si="155"/>
        <v>68.91127272727272</v>
      </c>
      <c r="P306" s="8">
        <f t="shared" si="159"/>
        <v>20.81120436363636</v>
      </c>
      <c r="Q306" s="58">
        <f t="shared" si="156"/>
        <v>70.28949818181817</v>
      </c>
      <c r="R306" s="78">
        <f>0.98+14*2+0.367*5+2.3+0.508*100+4.3+14.5</f>
        <v>102.71499999999999</v>
      </c>
      <c r="S306" s="79">
        <v>102.71499999999999</v>
      </c>
      <c r="T306" s="21">
        <f t="shared" si="131"/>
        <v>112.98649999999999</v>
      </c>
      <c r="U306" s="9">
        <f t="shared" si="153"/>
        <v>272.99847527272726</v>
      </c>
      <c r="V306" s="8">
        <f>U306*25%</f>
        <v>68.24961881818182</v>
      </c>
      <c r="W306" s="52">
        <f t="shared" si="157"/>
        <v>341.2480940909091</v>
      </c>
      <c r="X306" s="22">
        <v>290</v>
      </c>
      <c r="Y306" s="7"/>
      <c r="Z306" s="20">
        <v>254</v>
      </c>
      <c r="AB306" s="4">
        <v>250</v>
      </c>
      <c r="AC306" s="14"/>
      <c r="AD306" s="56">
        <v>290.20113722077923</v>
      </c>
      <c r="AE306" s="17">
        <f t="shared" si="139"/>
        <v>1.1759019877006698</v>
      </c>
    </row>
    <row r="307" spans="1:31" ht="15">
      <c r="A307" s="43" t="s">
        <v>736</v>
      </c>
      <c r="B307" s="31" t="s">
        <v>227</v>
      </c>
      <c r="C307" s="7">
        <v>572624</v>
      </c>
      <c r="D307" s="7">
        <v>1650</v>
      </c>
      <c r="E307" s="7">
        <v>6</v>
      </c>
      <c r="F307" s="8">
        <f t="shared" si="161"/>
        <v>34.704484848484846</v>
      </c>
      <c r="G307" s="37">
        <v>389340</v>
      </c>
      <c r="H307" s="7">
        <v>1925</v>
      </c>
      <c r="I307" s="7">
        <v>4</v>
      </c>
      <c r="J307" s="8">
        <f t="shared" si="162"/>
        <v>13.483636363636363</v>
      </c>
      <c r="K307" s="7">
        <v>20000</v>
      </c>
      <c r="L307" s="7">
        <v>846720</v>
      </c>
      <c r="M307" s="7">
        <v>5</v>
      </c>
      <c r="N307" s="8">
        <f t="shared" si="152"/>
        <v>0.11810279667422525</v>
      </c>
      <c r="O307" s="8">
        <f t="shared" si="155"/>
        <v>48.30622400879543</v>
      </c>
      <c r="P307" s="8">
        <f t="shared" si="159"/>
        <v>14.58847965065622</v>
      </c>
      <c r="Q307" s="58">
        <f t="shared" si="156"/>
        <v>49.27234848897134</v>
      </c>
      <c r="R307" s="78">
        <f>0.508*100+14+2.3+1.635*2+65.9+3.6+0.83*2</f>
        <v>141.52999999999997</v>
      </c>
      <c r="S307" s="79">
        <v>141.52999999999997</v>
      </c>
      <c r="T307" s="21">
        <f t="shared" si="131"/>
        <v>155.683</v>
      </c>
      <c r="U307" s="9">
        <f t="shared" si="153"/>
        <v>267.96815494509724</v>
      </c>
      <c r="V307" s="8">
        <f t="shared" si="160"/>
        <v>66.99203873627431</v>
      </c>
      <c r="W307" s="52">
        <f t="shared" si="157"/>
        <v>334.96019368137155</v>
      </c>
      <c r="X307" s="22">
        <v>290</v>
      </c>
      <c r="Y307" s="7"/>
      <c r="Z307" s="20">
        <v>216</v>
      </c>
      <c r="AA307" s="4">
        <v>124</v>
      </c>
      <c r="AB307" s="4">
        <v>200</v>
      </c>
      <c r="AC307" s="14">
        <f t="shared" si="163"/>
        <v>170.12918845271895</v>
      </c>
      <c r="AD307" s="56">
        <v>291.20694970734553</v>
      </c>
      <c r="AE307" s="17">
        <f t="shared" si="139"/>
        <v>1.1502479388558438</v>
      </c>
    </row>
    <row r="308" spans="1:31" ht="15">
      <c r="A308" s="43" t="s">
        <v>737</v>
      </c>
      <c r="B308" s="31" t="s">
        <v>228</v>
      </c>
      <c r="C308" s="7">
        <v>572624</v>
      </c>
      <c r="D308" s="7">
        <v>1650</v>
      </c>
      <c r="E308" s="7">
        <v>15</v>
      </c>
      <c r="F308" s="8">
        <f t="shared" si="161"/>
        <v>86.76121212121213</v>
      </c>
      <c r="G308" s="37">
        <v>389340</v>
      </c>
      <c r="H308" s="7">
        <v>1925</v>
      </c>
      <c r="I308" s="7">
        <v>8</v>
      </c>
      <c r="J308" s="8">
        <f t="shared" si="162"/>
        <v>26.967272727272725</v>
      </c>
      <c r="K308" s="7">
        <v>67000</v>
      </c>
      <c r="L308" s="7">
        <v>846720</v>
      </c>
      <c r="M308" s="7">
        <v>10</v>
      </c>
      <c r="N308" s="8">
        <f t="shared" si="152"/>
        <v>0.7912887377173092</v>
      </c>
      <c r="O308" s="8">
        <f t="shared" si="155"/>
        <v>114.51977358620216</v>
      </c>
      <c r="P308" s="8">
        <f t="shared" si="159"/>
        <v>34.584971623033056</v>
      </c>
      <c r="Q308" s="58">
        <f t="shared" si="156"/>
        <v>116.8101690579262</v>
      </c>
      <c r="R308" s="78">
        <f>0.508*100+14+1</f>
        <v>65.8</v>
      </c>
      <c r="S308" s="79">
        <v>65.8</v>
      </c>
      <c r="T308" s="21">
        <f t="shared" si="131"/>
        <v>72.38000000000001</v>
      </c>
      <c r="U308" s="9">
        <f t="shared" si="153"/>
        <v>339.0862030048787</v>
      </c>
      <c r="V308" s="8">
        <f t="shared" si="160"/>
        <v>84.77155075121968</v>
      </c>
      <c r="W308" s="52">
        <f t="shared" si="157"/>
        <v>423.8577537560984</v>
      </c>
      <c r="X308" s="22">
        <v>370</v>
      </c>
      <c r="Y308" s="7"/>
      <c r="Z308" s="20">
        <v>321</v>
      </c>
      <c r="AB308" s="4">
        <v>300</v>
      </c>
      <c r="AC308" s="14"/>
      <c r="AD308" s="56">
        <v>370.04589609376075</v>
      </c>
      <c r="AE308" s="17">
        <f t="shared" si="139"/>
        <v>1.1454194148087593</v>
      </c>
    </row>
    <row r="309" spans="1:31" ht="30">
      <c r="A309" s="43" t="s">
        <v>738</v>
      </c>
      <c r="B309" s="31" t="s">
        <v>289</v>
      </c>
      <c r="C309" s="7">
        <v>572624</v>
      </c>
      <c r="D309" s="7">
        <v>1650</v>
      </c>
      <c r="E309" s="7">
        <v>14</v>
      </c>
      <c r="F309" s="8">
        <f>C309/D309/60*E309</f>
        <v>80.97713131313131</v>
      </c>
      <c r="G309" s="37">
        <v>389340</v>
      </c>
      <c r="H309" s="7">
        <v>1925</v>
      </c>
      <c r="I309" s="7">
        <v>10</v>
      </c>
      <c r="J309" s="8">
        <f>G309/H309/60*I309</f>
        <v>33.709090909090904</v>
      </c>
      <c r="K309" s="7">
        <v>199750</v>
      </c>
      <c r="L309" s="7">
        <v>846720</v>
      </c>
      <c r="M309" s="7">
        <v>6</v>
      </c>
      <c r="N309" s="8">
        <f t="shared" si="152"/>
        <v>1.4154620181405895</v>
      </c>
      <c r="O309" s="8">
        <f t="shared" si="155"/>
        <v>116.1016842403628</v>
      </c>
      <c r="P309" s="8">
        <f t="shared" si="159"/>
        <v>35.06270864058956</v>
      </c>
      <c r="Q309" s="58">
        <f t="shared" si="156"/>
        <v>118.42371792517005</v>
      </c>
      <c r="R309" s="78">
        <f>0.508+1</f>
        <v>1.508</v>
      </c>
      <c r="S309" s="79">
        <v>1.508</v>
      </c>
      <c r="T309" s="21">
        <f t="shared" si="131"/>
        <v>1.6588</v>
      </c>
      <c r="U309" s="9">
        <f t="shared" si="153"/>
        <v>272.66237282426295</v>
      </c>
      <c r="V309" s="8">
        <f>U309*25%</f>
        <v>68.16559320606574</v>
      </c>
      <c r="W309" s="52">
        <f t="shared" si="157"/>
        <v>340.8279660303287</v>
      </c>
      <c r="X309" s="22">
        <v>290</v>
      </c>
      <c r="Y309" s="7"/>
      <c r="Z309" s="20">
        <v>216</v>
      </c>
      <c r="AB309" s="4">
        <v>200</v>
      </c>
      <c r="AC309" s="14"/>
      <c r="AD309" s="56">
        <v>290.4765863420171</v>
      </c>
      <c r="AE309" s="17">
        <f t="shared" si="139"/>
        <v>1.1733405790889673</v>
      </c>
    </row>
    <row r="310" spans="1:31" ht="15">
      <c r="A310" s="43" t="s">
        <v>739</v>
      </c>
      <c r="B310" s="31" t="s">
        <v>229</v>
      </c>
      <c r="C310" s="7">
        <v>572624</v>
      </c>
      <c r="D310" s="7">
        <v>1650</v>
      </c>
      <c r="E310" s="7">
        <v>16</v>
      </c>
      <c r="F310" s="8">
        <f>C310/D310/60*E310</f>
        <v>92.54529292929293</v>
      </c>
      <c r="G310" s="37">
        <v>389340</v>
      </c>
      <c r="H310" s="7">
        <v>1925</v>
      </c>
      <c r="I310" s="7">
        <v>15</v>
      </c>
      <c r="J310" s="8">
        <f>G310/H310/60*I310</f>
        <v>50.56363636363636</v>
      </c>
      <c r="K310" s="7">
        <v>129000</v>
      </c>
      <c r="L310" s="7">
        <v>846720</v>
      </c>
      <c r="M310" s="7">
        <v>13</v>
      </c>
      <c r="N310" s="8">
        <f t="shared" si="152"/>
        <v>1.9805839002267573</v>
      </c>
      <c r="O310" s="8">
        <f t="shared" si="155"/>
        <v>145.08951319315605</v>
      </c>
      <c r="P310" s="8">
        <f t="shared" si="159"/>
        <v>43.817032984333125</v>
      </c>
      <c r="Q310" s="58">
        <f t="shared" si="156"/>
        <v>147.99130345701917</v>
      </c>
      <c r="R310" s="78">
        <f>14+1.99*2+0.25</f>
        <v>18.23</v>
      </c>
      <c r="S310" s="79">
        <v>18.23</v>
      </c>
      <c r="T310" s="21">
        <f t="shared" si="131"/>
        <v>20.053</v>
      </c>
      <c r="U310" s="9">
        <f t="shared" si="153"/>
        <v>358.9314335347351</v>
      </c>
      <c r="V310" s="8">
        <f>U310*25%</f>
        <v>89.73285838368378</v>
      </c>
      <c r="W310" s="52">
        <f t="shared" si="157"/>
        <v>448.6642919184189</v>
      </c>
      <c r="X310" s="22">
        <v>380</v>
      </c>
      <c r="Y310" s="7"/>
      <c r="Z310" s="20">
        <v>321</v>
      </c>
      <c r="AB310" s="4">
        <v>300</v>
      </c>
      <c r="AC310" s="14"/>
      <c r="AD310" s="56">
        <v>381.32261272361376</v>
      </c>
      <c r="AE310" s="17">
        <f t="shared" si="139"/>
        <v>1.176600277423398</v>
      </c>
    </row>
    <row r="311" spans="1:31" ht="15">
      <c r="A311" s="43" t="s">
        <v>740</v>
      </c>
      <c r="B311" s="31" t="s">
        <v>438</v>
      </c>
      <c r="C311" s="7">
        <v>572624</v>
      </c>
      <c r="D311" s="7">
        <v>1800</v>
      </c>
      <c r="E311" s="7">
        <v>6</v>
      </c>
      <c r="F311" s="8">
        <f>C311/D311/60*E311</f>
        <v>31.812444444444445</v>
      </c>
      <c r="G311" s="37">
        <v>389340</v>
      </c>
      <c r="H311" s="7">
        <v>1800</v>
      </c>
      <c r="I311" s="7">
        <v>2</v>
      </c>
      <c r="J311" s="8">
        <f>G311/H311/60*I311</f>
        <v>7.21</v>
      </c>
      <c r="K311" s="7">
        <v>0</v>
      </c>
      <c r="L311" s="7">
        <v>1</v>
      </c>
      <c r="M311" s="7">
        <v>0</v>
      </c>
      <c r="N311" s="8">
        <f>K311/L311*M311</f>
        <v>0</v>
      </c>
      <c r="O311" s="8">
        <f>F311+J311+N311</f>
        <v>39.022444444444446</v>
      </c>
      <c r="P311" s="8">
        <f>O311*0.302</f>
        <v>11.784778222222222</v>
      </c>
      <c r="Q311" s="58">
        <f>(O311)*102%</f>
        <v>39.80289333333334</v>
      </c>
      <c r="R311" s="78">
        <f>7.38+0.37*2</f>
        <v>8.12</v>
      </c>
      <c r="S311" s="79">
        <v>8.12</v>
      </c>
      <c r="T311" s="21">
        <f t="shared" si="131"/>
        <v>8.932</v>
      </c>
      <c r="U311" s="9">
        <f t="shared" si="153"/>
        <v>99.54211600000001</v>
      </c>
      <c r="V311" s="8">
        <f>U311*25%</f>
        <v>24.885529000000002</v>
      </c>
      <c r="W311" s="52">
        <f>U311+V311</f>
        <v>124.42764500000001</v>
      </c>
      <c r="X311" s="22"/>
      <c r="Y311" s="7"/>
      <c r="Z311" s="20"/>
      <c r="AA311" s="4">
        <v>110</v>
      </c>
      <c r="AB311" s="4">
        <v>150</v>
      </c>
      <c r="AC311" s="14">
        <f>(100*W311)/AA311-100</f>
        <v>13.116040909090913</v>
      </c>
      <c r="AD311" s="56">
        <v>108.74552560000001</v>
      </c>
      <c r="AE311" s="17">
        <f t="shared" si="139"/>
        <v>1.1442093301170269</v>
      </c>
    </row>
    <row r="312" spans="1:31" ht="15">
      <c r="A312" s="43" t="s">
        <v>741</v>
      </c>
      <c r="B312" s="31" t="s">
        <v>439</v>
      </c>
      <c r="C312" s="7">
        <v>572624</v>
      </c>
      <c r="D312" s="7">
        <v>1800</v>
      </c>
      <c r="E312" s="7">
        <v>6</v>
      </c>
      <c r="F312" s="8">
        <f>C312/D312/60*E312</f>
        <v>31.812444444444445</v>
      </c>
      <c r="G312" s="37">
        <v>389340</v>
      </c>
      <c r="H312" s="7">
        <v>1800</v>
      </c>
      <c r="I312" s="7">
        <v>2</v>
      </c>
      <c r="J312" s="8">
        <f>G312/H312/60*I312</f>
        <v>7.21</v>
      </c>
      <c r="K312" s="7">
        <v>0</v>
      </c>
      <c r="L312" s="7">
        <v>1</v>
      </c>
      <c r="M312" s="7">
        <v>0</v>
      </c>
      <c r="N312" s="8">
        <f>K312/L312*M312</f>
        <v>0</v>
      </c>
      <c r="O312" s="8">
        <f>F312+J312+N312</f>
        <v>39.022444444444446</v>
      </c>
      <c r="P312" s="8">
        <f>O312*0.302</f>
        <v>11.784778222222222</v>
      </c>
      <c r="Q312" s="58">
        <f>(O312)*102%</f>
        <v>39.80289333333334</v>
      </c>
      <c r="R312" s="78">
        <f>7.38+0.37*2</f>
        <v>8.12</v>
      </c>
      <c r="S312" s="79">
        <v>8.12</v>
      </c>
      <c r="T312" s="21">
        <f t="shared" si="131"/>
        <v>8.932</v>
      </c>
      <c r="U312" s="9">
        <f t="shared" si="153"/>
        <v>99.54211600000001</v>
      </c>
      <c r="V312" s="8">
        <f>U312*25%</f>
        <v>24.885529000000002</v>
      </c>
      <c r="W312" s="52">
        <f>U312+V312</f>
        <v>124.42764500000001</v>
      </c>
      <c r="X312" s="22"/>
      <c r="Y312" s="7"/>
      <c r="Z312" s="20">
        <v>116</v>
      </c>
      <c r="AA312" s="4">
        <v>110</v>
      </c>
      <c r="AB312" s="4">
        <v>150</v>
      </c>
      <c r="AC312" s="14">
        <f>(100*W312)/AA312-100</f>
        <v>13.116040909090913</v>
      </c>
      <c r="AD312" s="56">
        <v>108.74552560000001</v>
      </c>
      <c r="AE312" s="17">
        <f t="shared" si="139"/>
        <v>1.1442093301170269</v>
      </c>
    </row>
    <row r="313" spans="1:29" ht="15">
      <c r="A313" s="43"/>
      <c r="B313" s="85" t="s">
        <v>342</v>
      </c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7"/>
      <c r="S313" s="87"/>
      <c r="T313" s="86"/>
      <c r="U313" s="86"/>
      <c r="V313" s="86"/>
      <c r="W313" s="88"/>
      <c r="X313" s="23"/>
      <c r="Y313" s="21"/>
      <c r="Z313" s="20"/>
      <c r="AC313" s="14"/>
    </row>
    <row r="314" spans="1:31" ht="15">
      <c r="A314" s="43" t="s">
        <v>742</v>
      </c>
      <c r="B314" s="31" t="s">
        <v>19</v>
      </c>
      <c r="C314" s="7">
        <v>572624</v>
      </c>
      <c r="D314" s="7">
        <v>1650</v>
      </c>
      <c r="E314" s="7">
        <v>15</v>
      </c>
      <c r="F314" s="8">
        <f aca="true" t="shared" si="164" ref="F314:F321">C314/D314/60*E314</f>
        <v>86.76121212121213</v>
      </c>
      <c r="G314" s="37">
        <v>389340</v>
      </c>
      <c r="H314" s="7">
        <v>1925</v>
      </c>
      <c r="I314" s="7">
        <v>11</v>
      </c>
      <c r="J314" s="8">
        <f aca="true" t="shared" si="165" ref="J314:J330">G314/H314/60*I314</f>
        <v>37.08</v>
      </c>
      <c r="K314" s="7">
        <v>0</v>
      </c>
      <c r="L314" s="7">
        <v>1</v>
      </c>
      <c r="M314" s="7">
        <v>0</v>
      </c>
      <c r="N314" s="8">
        <f t="shared" si="152"/>
        <v>0</v>
      </c>
      <c r="O314" s="8">
        <f aca="true" t="shared" si="166" ref="O314:O330">F314+J314+N314</f>
        <v>123.84121212121212</v>
      </c>
      <c r="P314" s="8">
        <f>O314*0.302</f>
        <v>37.40004606060606</v>
      </c>
      <c r="Q314" s="58">
        <f aca="true" t="shared" si="167" ref="Q314:Q330">(O314)*102%</f>
        <v>126.31803636363637</v>
      </c>
      <c r="R314" s="78">
        <f>33.4+14.61+1.365*5+50+1.39*5</f>
        <v>111.78500000000001</v>
      </c>
      <c r="S314" s="79">
        <v>111.78500000000001</v>
      </c>
      <c r="T314" s="21">
        <f t="shared" si="131"/>
        <v>122.96350000000002</v>
      </c>
      <c r="U314" s="9">
        <f t="shared" si="153"/>
        <v>410.5227945454546</v>
      </c>
      <c r="V314" s="8">
        <f aca="true" t="shared" si="168" ref="V314:V349">U314*25%</f>
        <v>102.63069863636365</v>
      </c>
      <c r="W314" s="52">
        <f aca="true" t="shared" si="169" ref="W314:W328">U314+V314</f>
        <v>513.1534931818182</v>
      </c>
      <c r="X314" s="22">
        <v>450</v>
      </c>
      <c r="Y314" s="7"/>
      <c r="Z314" s="20">
        <v>350</v>
      </c>
      <c r="AA314" s="4">
        <v>220</v>
      </c>
      <c r="AB314" s="4">
        <v>400</v>
      </c>
      <c r="AC314" s="14">
        <f t="shared" si="163"/>
        <v>133.2515878099174</v>
      </c>
      <c r="AD314" s="56">
        <v>445.54871535064933</v>
      </c>
      <c r="AE314" s="17">
        <f t="shared" si="139"/>
        <v>1.1517337509950254</v>
      </c>
    </row>
    <row r="315" spans="1:31" ht="15">
      <c r="A315" s="43" t="s">
        <v>743</v>
      </c>
      <c r="B315" s="31" t="s">
        <v>20</v>
      </c>
      <c r="C315" s="7">
        <v>572624</v>
      </c>
      <c r="D315" s="7">
        <v>1650</v>
      </c>
      <c r="E315" s="7">
        <v>10</v>
      </c>
      <c r="F315" s="8">
        <f t="shared" si="164"/>
        <v>57.84080808080808</v>
      </c>
      <c r="G315" s="37">
        <v>389340</v>
      </c>
      <c r="H315" s="7">
        <v>1925</v>
      </c>
      <c r="I315" s="7">
        <v>3</v>
      </c>
      <c r="J315" s="8">
        <f t="shared" si="165"/>
        <v>10.112727272727271</v>
      </c>
      <c r="K315" s="7">
        <v>10868</v>
      </c>
      <c r="L315" s="7">
        <v>846720</v>
      </c>
      <c r="M315" s="7">
        <v>20</v>
      </c>
      <c r="N315" s="8">
        <f t="shared" si="152"/>
        <v>0.256708238851096</v>
      </c>
      <c r="O315" s="8">
        <f t="shared" si="166"/>
        <v>68.21024359238645</v>
      </c>
      <c r="P315" s="8">
        <f aca="true" t="shared" si="170" ref="P315:P328">O315*0.302</f>
        <v>20.59949356490071</v>
      </c>
      <c r="Q315" s="58">
        <f t="shared" si="167"/>
        <v>69.57444846423418</v>
      </c>
      <c r="R315" s="78">
        <f>33.04+14.61+1.635*4+0.83*2+44</f>
        <v>99.85</v>
      </c>
      <c r="S315" s="76">
        <v>99.85</v>
      </c>
      <c r="T315" s="21">
        <f t="shared" si="131"/>
        <v>109.83500000000001</v>
      </c>
      <c r="U315" s="9">
        <f t="shared" si="153"/>
        <v>268.4758938603725</v>
      </c>
      <c r="V315" s="8">
        <f t="shared" si="168"/>
        <v>67.11897346509312</v>
      </c>
      <c r="W315" s="52">
        <f t="shared" si="169"/>
        <v>335.5948673254656</v>
      </c>
      <c r="X315" s="22">
        <v>283</v>
      </c>
      <c r="Y315" s="7"/>
      <c r="Z315" s="20">
        <v>283</v>
      </c>
      <c r="AA315" s="4">
        <v>245</v>
      </c>
      <c r="AB315" s="4">
        <v>245</v>
      </c>
      <c r="AC315" s="14">
        <f t="shared" si="163"/>
        <v>36.977496867536985</v>
      </c>
      <c r="AD315" s="56">
        <v>285.971970831959</v>
      </c>
      <c r="AE315" s="17">
        <f t="shared" si="139"/>
        <v>1.1735236371212956</v>
      </c>
    </row>
    <row r="316" spans="1:31" ht="15">
      <c r="A316" s="43" t="s">
        <v>744</v>
      </c>
      <c r="B316" s="31" t="s">
        <v>21</v>
      </c>
      <c r="C316" s="7">
        <v>572624</v>
      </c>
      <c r="D316" s="7">
        <v>1650</v>
      </c>
      <c r="E316" s="7">
        <v>15</v>
      </c>
      <c r="F316" s="8">
        <f t="shared" si="164"/>
        <v>86.76121212121213</v>
      </c>
      <c r="G316" s="37">
        <v>389340</v>
      </c>
      <c r="H316" s="7">
        <v>1925</v>
      </c>
      <c r="I316" s="7">
        <v>12</v>
      </c>
      <c r="J316" s="8">
        <f t="shared" si="165"/>
        <v>40.450909090909086</v>
      </c>
      <c r="K316" s="7">
        <v>54050</v>
      </c>
      <c r="L316" s="7">
        <v>846720</v>
      </c>
      <c r="M316" s="7">
        <v>20</v>
      </c>
      <c r="N316" s="8">
        <f t="shared" si="152"/>
        <v>1.276691232048375</v>
      </c>
      <c r="O316" s="8">
        <f t="shared" si="166"/>
        <v>128.48881244416958</v>
      </c>
      <c r="P316" s="8">
        <f t="shared" si="170"/>
        <v>38.80362135813921</v>
      </c>
      <c r="Q316" s="58">
        <f t="shared" si="167"/>
        <v>131.05858869305297</v>
      </c>
      <c r="R316" s="78">
        <f>1.99*2</f>
        <v>3.98</v>
      </c>
      <c r="S316" s="76">
        <v>3.98</v>
      </c>
      <c r="T316" s="21">
        <f t="shared" si="131"/>
        <v>4.378</v>
      </c>
      <c r="U316" s="9">
        <f t="shared" si="153"/>
        <v>304.0057137274101</v>
      </c>
      <c r="V316" s="8">
        <f t="shared" si="168"/>
        <v>76.00142843185253</v>
      </c>
      <c r="W316" s="52">
        <f t="shared" si="169"/>
        <v>380.0071421592627</v>
      </c>
      <c r="X316" s="22">
        <v>321</v>
      </c>
      <c r="Y316" s="7"/>
      <c r="Z316" s="20">
        <v>321</v>
      </c>
      <c r="AA316" s="4">
        <v>254</v>
      </c>
      <c r="AB316" s="4">
        <v>300</v>
      </c>
      <c r="AC316" s="14">
        <f t="shared" si="163"/>
        <v>49.60911108632388</v>
      </c>
      <c r="AD316" s="56">
        <v>325.0748721852368</v>
      </c>
      <c r="AE316" s="17">
        <f t="shared" si="139"/>
        <v>1.168983439429683</v>
      </c>
    </row>
    <row r="317" spans="1:31" ht="15">
      <c r="A317" s="43" t="s">
        <v>745</v>
      </c>
      <c r="B317" s="31" t="s">
        <v>22</v>
      </c>
      <c r="C317" s="7">
        <v>572624</v>
      </c>
      <c r="D317" s="7">
        <v>1650</v>
      </c>
      <c r="E317" s="7">
        <v>9</v>
      </c>
      <c r="F317" s="8">
        <f t="shared" si="164"/>
        <v>52.05672727272727</v>
      </c>
      <c r="G317" s="37">
        <v>389340</v>
      </c>
      <c r="H317" s="7">
        <v>1925</v>
      </c>
      <c r="I317" s="7">
        <v>8</v>
      </c>
      <c r="J317" s="8">
        <f t="shared" si="165"/>
        <v>26.967272727272725</v>
      </c>
      <c r="K317" s="7">
        <v>24400</v>
      </c>
      <c r="L317" s="7">
        <v>846720</v>
      </c>
      <c r="M317" s="7">
        <v>10</v>
      </c>
      <c r="N317" s="8">
        <f t="shared" si="152"/>
        <v>0.2881708238851096</v>
      </c>
      <c r="O317" s="8">
        <f t="shared" si="166"/>
        <v>79.31217082388511</v>
      </c>
      <c r="P317" s="8">
        <f t="shared" si="170"/>
        <v>23.952275588813304</v>
      </c>
      <c r="Q317" s="58">
        <f t="shared" si="167"/>
        <v>80.89841424036281</v>
      </c>
      <c r="R317" s="78">
        <f>1.99*2</f>
        <v>3.98</v>
      </c>
      <c r="S317" s="76">
        <v>3.98</v>
      </c>
      <c r="T317" s="21">
        <f aca="true" t="shared" si="171" ref="T317:T330">S317*1.1</f>
        <v>4.378</v>
      </c>
      <c r="U317" s="9">
        <f t="shared" si="153"/>
        <v>188.82903147694634</v>
      </c>
      <c r="V317" s="8">
        <f t="shared" si="168"/>
        <v>47.207257869236585</v>
      </c>
      <c r="W317" s="52">
        <f t="shared" si="169"/>
        <v>236.0362893461829</v>
      </c>
      <c r="X317" s="22">
        <v>200</v>
      </c>
      <c r="Y317" s="7"/>
      <c r="Z317" s="20">
        <v>186</v>
      </c>
      <c r="AA317" s="4">
        <v>162</v>
      </c>
      <c r="AB317" s="4">
        <v>162</v>
      </c>
      <c r="AC317" s="14">
        <f t="shared" si="163"/>
        <v>45.701413176656104</v>
      </c>
      <c r="AD317" s="56">
        <v>205.36982404748161</v>
      </c>
      <c r="AE317" s="17">
        <f t="shared" si="139"/>
        <v>1.1493231317742727</v>
      </c>
    </row>
    <row r="318" spans="1:31" ht="15">
      <c r="A318" s="43" t="s">
        <v>746</v>
      </c>
      <c r="B318" s="31" t="s">
        <v>23</v>
      </c>
      <c r="C318" s="7">
        <v>572624</v>
      </c>
      <c r="D318" s="7">
        <v>1650</v>
      </c>
      <c r="E318" s="7">
        <v>15</v>
      </c>
      <c r="F318" s="8">
        <f t="shared" si="164"/>
        <v>86.76121212121213</v>
      </c>
      <c r="G318" s="37">
        <v>389340</v>
      </c>
      <c r="H318" s="7">
        <v>1925</v>
      </c>
      <c r="I318" s="7">
        <v>12</v>
      </c>
      <c r="J318" s="8">
        <f t="shared" si="165"/>
        <v>40.450909090909086</v>
      </c>
      <c r="K318" s="7">
        <v>24400</v>
      </c>
      <c r="L318" s="7">
        <v>846720</v>
      </c>
      <c r="M318" s="7">
        <v>20</v>
      </c>
      <c r="N318" s="8">
        <f t="shared" si="152"/>
        <v>0.5763416477702192</v>
      </c>
      <c r="O318" s="8">
        <f t="shared" si="166"/>
        <v>127.78846285989144</v>
      </c>
      <c r="P318" s="8">
        <f t="shared" si="170"/>
        <v>38.59211578368721</v>
      </c>
      <c r="Q318" s="58">
        <f t="shared" si="167"/>
        <v>130.34423211708926</v>
      </c>
      <c r="R318" s="78">
        <f>1.99*2</f>
        <v>3.98</v>
      </c>
      <c r="S318" s="76">
        <v>3.98</v>
      </c>
      <c r="T318" s="21">
        <f t="shared" si="171"/>
        <v>4.378</v>
      </c>
      <c r="U318" s="9">
        <f t="shared" si="153"/>
        <v>301.67915240843814</v>
      </c>
      <c r="V318" s="8">
        <f t="shared" si="168"/>
        <v>75.41978810210954</v>
      </c>
      <c r="W318" s="52">
        <f t="shared" si="169"/>
        <v>377.09894051054766</v>
      </c>
      <c r="X318" s="22">
        <v>321</v>
      </c>
      <c r="Y318" s="7"/>
      <c r="Z318" s="20">
        <v>321</v>
      </c>
      <c r="AA318" s="4">
        <v>312</v>
      </c>
      <c r="AB318" s="4">
        <v>312</v>
      </c>
      <c r="AC318" s="14">
        <f t="shared" si="163"/>
        <v>20.865045035431947</v>
      </c>
      <c r="AD318" s="56">
        <v>322.16667053652174</v>
      </c>
      <c r="AE318" s="17">
        <f t="shared" si="139"/>
        <v>1.1705088545706612</v>
      </c>
    </row>
    <row r="319" spans="1:31" ht="15">
      <c r="A319" s="43" t="s">
        <v>747</v>
      </c>
      <c r="B319" s="31" t="s">
        <v>206</v>
      </c>
      <c r="C319" s="7">
        <v>572624</v>
      </c>
      <c r="D319" s="7">
        <v>1650</v>
      </c>
      <c r="E319" s="7">
        <v>6</v>
      </c>
      <c r="F319" s="8">
        <f t="shared" si="164"/>
        <v>34.704484848484846</v>
      </c>
      <c r="G319" s="37">
        <v>389340</v>
      </c>
      <c r="H319" s="7">
        <v>1925</v>
      </c>
      <c r="I319" s="7">
        <v>5</v>
      </c>
      <c r="J319" s="8">
        <f t="shared" si="165"/>
        <v>16.854545454545452</v>
      </c>
      <c r="K319" s="7">
        <v>0</v>
      </c>
      <c r="L319" s="7">
        <v>1</v>
      </c>
      <c r="M319" s="7">
        <v>0</v>
      </c>
      <c r="N319" s="8">
        <f t="shared" si="152"/>
        <v>0</v>
      </c>
      <c r="O319" s="8">
        <f t="shared" si="166"/>
        <v>51.5590303030303</v>
      </c>
      <c r="P319" s="8">
        <f t="shared" si="170"/>
        <v>15.57082715151515</v>
      </c>
      <c r="Q319" s="58">
        <f t="shared" si="167"/>
        <v>52.59021090909091</v>
      </c>
      <c r="R319" s="78">
        <f>2.6*2+0.83*4+33.04</f>
        <v>41.56</v>
      </c>
      <c r="S319" s="76">
        <v>41.56</v>
      </c>
      <c r="T319" s="21">
        <f t="shared" si="171"/>
        <v>45.71600000000001</v>
      </c>
      <c r="U319" s="9">
        <f t="shared" si="153"/>
        <v>165.43606836363637</v>
      </c>
      <c r="V319" s="8">
        <f t="shared" si="168"/>
        <v>41.35901709090909</v>
      </c>
      <c r="W319" s="52">
        <f t="shared" si="169"/>
        <v>206.79508545454547</v>
      </c>
      <c r="X319" s="22">
        <v>180</v>
      </c>
      <c r="Y319" s="7"/>
      <c r="Z319" s="20">
        <v>163</v>
      </c>
      <c r="AA319" s="4">
        <v>129</v>
      </c>
      <c r="AB319" s="4">
        <v>160</v>
      </c>
      <c r="AC319" s="14">
        <f t="shared" si="163"/>
        <v>60.3062677942213</v>
      </c>
      <c r="AD319" s="56">
        <v>185.34752623376625</v>
      </c>
      <c r="AE319" s="17">
        <f t="shared" si="139"/>
        <v>1.115715378870117</v>
      </c>
    </row>
    <row r="320" spans="1:31" ht="15">
      <c r="A320" s="43" t="s">
        <v>748</v>
      </c>
      <c r="B320" s="31" t="s">
        <v>209</v>
      </c>
      <c r="C320" s="7">
        <v>572624</v>
      </c>
      <c r="D320" s="7">
        <v>1650</v>
      </c>
      <c r="E320" s="7">
        <v>8</v>
      </c>
      <c r="F320" s="8">
        <f>C320/D320/60*E320</f>
        <v>46.27264646464646</v>
      </c>
      <c r="G320" s="37">
        <v>389340</v>
      </c>
      <c r="H320" s="7">
        <v>1925</v>
      </c>
      <c r="I320" s="7">
        <v>5</v>
      </c>
      <c r="J320" s="8">
        <f t="shared" si="165"/>
        <v>16.854545454545452</v>
      </c>
      <c r="K320" s="7">
        <v>0</v>
      </c>
      <c r="L320" s="7">
        <v>1</v>
      </c>
      <c r="M320" s="7">
        <v>0</v>
      </c>
      <c r="N320" s="8">
        <f t="shared" si="152"/>
        <v>0</v>
      </c>
      <c r="O320" s="8">
        <f t="shared" si="166"/>
        <v>63.127191919191915</v>
      </c>
      <c r="P320" s="8">
        <f t="shared" si="170"/>
        <v>19.064411959595958</v>
      </c>
      <c r="Q320" s="58">
        <f t="shared" si="167"/>
        <v>64.38973575757575</v>
      </c>
      <c r="R320" s="78">
        <f>2.6*2+0.83*4</f>
        <v>8.52</v>
      </c>
      <c r="S320" s="76">
        <v>8.52</v>
      </c>
      <c r="T320" s="21">
        <f t="shared" si="171"/>
        <v>9.372</v>
      </c>
      <c r="U320" s="9">
        <f t="shared" si="153"/>
        <v>155.95333963636364</v>
      </c>
      <c r="V320" s="8">
        <f>U320*25%</f>
        <v>38.98833490909091</v>
      </c>
      <c r="W320" s="52">
        <f t="shared" si="169"/>
        <v>194.94167454545453</v>
      </c>
      <c r="X320" s="22">
        <v>170</v>
      </c>
      <c r="Y320" s="7"/>
      <c r="Z320" s="20">
        <v>148</v>
      </c>
      <c r="AB320" s="4">
        <v>140</v>
      </c>
      <c r="AC320" s="14"/>
      <c r="AD320" s="56">
        <v>170.66119792207792</v>
      </c>
      <c r="AE320" s="17">
        <f t="shared" si="139"/>
        <v>1.1422729766285997</v>
      </c>
    </row>
    <row r="321" spans="1:31" ht="15">
      <c r="A321" s="43" t="s">
        <v>749</v>
      </c>
      <c r="B321" s="31" t="s">
        <v>849</v>
      </c>
      <c r="C321" s="7">
        <v>572624</v>
      </c>
      <c r="D321" s="7">
        <v>1650</v>
      </c>
      <c r="E321" s="7">
        <v>10</v>
      </c>
      <c r="F321" s="8">
        <f t="shared" si="164"/>
        <v>57.84080808080808</v>
      </c>
      <c r="G321" s="37">
        <v>389340</v>
      </c>
      <c r="H321" s="7">
        <v>1925</v>
      </c>
      <c r="I321" s="7">
        <v>5</v>
      </c>
      <c r="J321" s="8">
        <f t="shared" si="165"/>
        <v>16.854545454545452</v>
      </c>
      <c r="K321" s="7">
        <v>0</v>
      </c>
      <c r="L321" s="7">
        <v>1</v>
      </c>
      <c r="M321" s="7">
        <v>0</v>
      </c>
      <c r="N321" s="8">
        <f t="shared" si="152"/>
        <v>0</v>
      </c>
      <c r="O321" s="8">
        <f t="shared" si="166"/>
        <v>74.69535353535353</v>
      </c>
      <c r="P321" s="8">
        <f t="shared" si="170"/>
        <v>22.557996767676766</v>
      </c>
      <c r="Q321" s="58">
        <f t="shared" si="167"/>
        <v>76.1892606060606</v>
      </c>
      <c r="R321" s="78">
        <f>12+1.635*4+27+0.37+12.27</f>
        <v>58.17999999999999</v>
      </c>
      <c r="S321" s="76">
        <v>58.17999999999999</v>
      </c>
      <c r="T321" s="21">
        <f t="shared" si="171"/>
        <v>63.998</v>
      </c>
      <c r="U321" s="9">
        <f t="shared" si="153"/>
        <v>237.44061090909088</v>
      </c>
      <c r="V321" s="8">
        <f t="shared" si="168"/>
        <v>59.36015272727272</v>
      </c>
      <c r="W321" s="52">
        <f t="shared" si="169"/>
        <v>296.8007636363636</v>
      </c>
      <c r="X321" s="22">
        <v>254</v>
      </c>
      <c r="Y321" s="7"/>
      <c r="Z321" s="20">
        <v>254</v>
      </c>
      <c r="AA321" s="4">
        <v>220</v>
      </c>
      <c r="AB321" s="4">
        <v>220</v>
      </c>
      <c r="AC321" s="14">
        <f t="shared" si="163"/>
        <v>34.909438016528924</v>
      </c>
      <c r="AD321" s="56">
        <v>255.9220749090909</v>
      </c>
      <c r="AE321" s="17">
        <f t="shared" si="139"/>
        <v>1.1597309991402411</v>
      </c>
    </row>
    <row r="322" spans="1:31" ht="15">
      <c r="A322" s="43" t="s">
        <v>750</v>
      </c>
      <c r="B322" s="31" t="s">
        <v>53</v>
      </c>
      <c r="C322" s="7">
        <v>572624</v>
      </c>
      <c r="D322" s="7">
        <v>1650</v>
      </c>
      <c r="E322" s="7">
        <v>21</v>
      </c>
      <c r="F322" s="8">
        <f aca="true" t="shared" si="172" ref="F322:F330">C322/D322/60*E322</f>
        <v>121.46569696969696</v>
      </c>
      <c r="G322" s="37">
        <v>389340</v>
      </c>
      <c r="H322" s="7">
        <v>1925</v>
      </c>
      <c r="I322" s="7">
        <v>21</v>
      </c>
      <c r="J322" s="8">
        <f t="shared" si="165"/>
        <v>70.7890909090909</v>
      </c>
      <c r="K322" s="7">
        <f>5250+83850</f>
        <v>89100</v>
      </c>
      <c r="L322" s="7">
        <v>846720</v>
      </c>
      <c r="M322" s="7">
        <v>30</v>
      </c>
      <c r="N322" s="8">
        <f t="shared" si="152"/>
        <v>3.1568877551020407</v>
      </c>
      <c r="O322" s="8">
        <f t="shared" si="166"/>
        <v>195.4116756338899</v>
      </c>
      <c r="P322" s="8">
        <f t="shared" si="170"/>
        <v>59.01432604143475</v>
      </c>
      <c r="Q322" s="58">
        <f t="shared" si="167"/>
        <v>199.3199091465677</v>
      </c>
      <c r="R322" s="78">
        <f>33.3+1.635*2</f>
        <v>36.57</v>
      </c>
      <c r="S322" s="76">
        <v>36.57</v>
      </c>
      <c r="T322" s="21">
        <f t="shared" si="171"/>
        <v>40.227000000000004</v>
      </c>
      <c r="U322" s="9">
        <f t="shared" si="153"/>
        <v>497.1297985769944</v>
      </c>
      <c r="V322" s="8">
        <f t="shared" si="168"/>
        <v>124.2824496442486</v>
      </c>
      <c r="W322" s="52">
        <f t="shared" si="169"/>
        <v>621.412248221243</v>
      </c>
      <c r="X322" s="22">
        <v>541</v>
      </c>
      <c r="Y322" s="7"/>
      <c r="Z322" s="20">
        <v>541</v>
      </c>
      <c r="AA322" s="4">
        <v>507</v>
      </c>
      <c r="AB322" s="4">
        <v>507</v>
      </c>
      <c r="AC322" s="14">
        <f t="shared" si="163"/>
        <v>22.56651838683294</v>
      </c>
      <c r="AD322" s="56">
        <v>540.6512594679963</v>
      </c>
      <c r="AE322" s="17">
        <f t="shared" si="139"/>
        <v>1.149377232252665</v>
      </c>
    </row>
    <row r="323" spans="1:31" ht="15">
      <c r="A323" s="43" t="s">
        <v>751</v>
      </c>
      <c r="B323" s="31" t="s">
        <v>48</v>
      </c>
      <c r="C323" s="7">
        <v>572624</v>
      </c>
      <c r="D323" s="7">
        <v>1650</v>
      </c>
      <c r="E323" s="7">
        <v>20</v>
      </c>
      <c r="F323" s="8">
        <f t="shared" si="172"/>
        <v>115.68161616161616</v>
      </c>
      <c r="G323" s="37">
        <v>389340</v>
      </c>
      <c r="H323" s="7">
        <v>1925</v>
      </c>
      <c r="I323" s="7">
        <v>14</v>
      </c>
      <c r="J323" s="8">
        <f t="shared" si="165"/>
        <v>47.19272727272727</v>
      </c>
      <c r="K323" s="7">
        <v>264100</v>
      </c>
      <c r="L323" s="7">
        <v>846720</v>
      </c>
      <c r="M323" s="7">
        <v>21</v>
      </c>
      <c r="N323" s="8">
        <f t="shared" si="152"/>
        <v>6.5500992063492065</v>
      </c>
      <c r="O323" s="8">
        <f t="shared" si="166"/>
        <v>169.42444264069263</v>
      </c>
      <c r="P323" s="8">
        <f t="shared" si="170"/>
        <v>51.16618167748917</v>
      </c>
      <c r="Q323" s="58">
        <f t="shared" si="167"/>
        <v>172.81293149350648</v>
      </c>
      <c r="R323" s="78">
        <f>0.83*2+1.635*2</f>
        <v>4.93</v>
      </c>
      <c r="S323" s="76">
        <v>4.93</v>
      </c>
      <c r="T323" s="21">
        <f t="shared" si="171"/>
        <v>5.423</v>
      </c>
      <c r="U323" s="9">
        <f t="shared" si="153"/>
        <v>405.37665501803747</v>
      </c>
      <c r="V323" s="8">
        <f t="shared" si="168"/>
        <v>101.34416375450937</v>
      </c>
      <c r="W323" s="52">
        <f t="shared" si="169"/>
        <v>506.72081877254686</v>
      </c>
      <c r="X323" s="22">
        <v>435</v>
      </c>
      <c r="Y323" s="7"/>
      <c r="Z323" s="20">
        <v>435</v>
      </c>
      <c r="AA323" s="4">
        <v>428</v>
      </c>
      <c r="AB323" s="4">
        <v>428</v>
      </c>
      <c r="AC323" s="14">
        <f t="shared" si="163"/>
        <v>18.392714666482902</v>
      </c>
      <c r="AD323" s="56">
        <v>435.2682630063132</v>
      </c>
      <c r="AE323" s="17">
        <f t="shared" si="139"/>
        <v>1.164157513512988</v>
      </c>
    </row>
    <row r="324" spans="1:31" ht="15">
      <c r="A324" s="43" t="s">
        <v>752</v>
      </c>
      <c r="B324" s="31" t="s">
        <v>49</v>
      </c>
      <c r="C324" s="7">
        <v>572624</v>
      </c>
      <c r="D324" s="7">
        <v>1650</v>
      </c>
      <c r="E324" s="7">
        <v>10</v>
      </c>
      <c r="F324" s="8">
        <f t="shared" si="172"/>
        <v>57.84080808080808</v>
      </c>
      <c r="G324" s="37">
        <v>389340</v>
      </c>
      <c r="H324" s="7">
        <v>1925</v>
      </c>
      <c r="I324" s="7">
        <v>6</v>
      </c>
      <c r="J324" s="8">
        <f t="shared" si="165"/>
        <v>20.225454545454543</v>
      </c>
      <c r="K324" s="7">
        <v>4600</v>
      </c>
      <c r="L324" s="7">
        <v>846720</v>
      </c>
      <c r="M324" s="7">
        <v>10</v>
      </c>
      <c r="N324" s="8">
        <f t="shared" si="152"/>
        <v>0.05432728647014361</v>
      </c>
      <c r="O324" s="8">
        <f t="shared" si="166"/>
        <v>78.12058991273277</v>
      </c>
      <c r="P324" s="8">
        <f t="shared" si="170"/>
        <v>23.592418153645294</v>
      </c>
      <c r="Q324" s="58">
        <f t="shared" si="167"/>
        <v>79.68300171098743</v>
      </c>
      <c r="R324" s="78">
        <f>1.635*2</f>
        <v>3.27</v>
      </c>
      <c r="S324" s="76">
        <v>3.27</v>
      </c>
      <c r="T324" s="21">
        <f t="shared" si="171"/>
        <v>3.5970000000000004</v>
      </c>
      <c r="U324" s="9">
        <f t="shared" si="153"/>
        <v>185.04733706383564</v>
      </c>
      <c r="V324" s="8">
        <f t="shared" si="168"/>
        <v>46.26183426595891</v>
      </c>
      <c r="W324" s="52">
        <f t="shared" si="169"/>
        <v>231.30917132979454</v>
      </c>
      <c r="X324" s="22">
        <v>194</v>
      </c>
      <c r="Y324" s="7"/>
      <c r="Z324" s="20">
        <v>194</v>
      </c>
      <c r="AA324" s="4">
        <v>195</v>
      </c>
      <c r="AB324" s="4">
        <v>195</v>
      </c>
      <c r="AC324" s="14">
        <f t="shared" si="163"/>
        <v>18.620087861433106</v>
      </c>
      <c r="AD324" s="56">
        <v>198.12272086226213</v>
      </c>
      <c r="AE324" s="17">
        <f t="shared" si="139"/>
        <v>1.167504516004523</v>
      </c>
    </row>
    <row r="325" spans="1:31" ht="15">
      <c r="A325" s="43" t="s">
        <v>753</v>
      </c>
      <c r="B325" s="31" t="s">
        <v>207</v>
      </c>
      <c r="C325" s="7">
        <v>572624</v>
      </c>
      <c r="D325" s="7">
        <v>1650</v>
      </c>
      <c r="E325" s="7">
        <v>10</v>
      </c>
      <c r="F325" s="8">
        <f t="shared" si="172"/>
        <v>57.84080808080808</v>
      </c>
      <c r="G325" s="37">
        <v>389340</v>
      </c>
      <c r="H325" s="7">
        <v>1925</v>
      </c>
      <c r="I325" s="7">
        <v>9</v>
      </c>
      <c r="J325" s="8">
        <f t="shared" si="165"/>
        <v>30.338181818181816</v>
      </c>
      <c r="K325" s="7">
        <f>264100+4800</f>
        <v>268900</v>
      </c>
      <c r="L325" s="7">
        <v>846720</v>
      </c>
      <c r="M325" s="7">
        <v>12</v>
      </c>
      <c r="N325" s="8">
        <f t="shared" si="152"/>
        <v>3.8109410430839</v>
      </c>
      <c r="O325" s="8">
        <f t="shared" si="166"/>
        <v>91.9899309420738</v>
      </c>
      <c r="P325" s="8">
        <f t="shared" si="170"/>
        <v>27.780959144506287</v>
      </c>
      <c r="Q325" s="58">
        <f t="shared" si="167"/>
        <v>93.82972956091527</v>
      </c>
      <c r="R325" s="78">
        <f>0.83*2+14.61+1.635*4</f>
        <v>22.81</v>
      </c>
      <c r="S325" s="76">
        <v>22.81</v>
      </c>
      <c r="T325" s="21">
        <f t="shared" si="171"/>
        <v>25.091</v>
      </c>
      <c r="U325" s="9">
        <f t="shared" si="153"/>
        <v>242.50256069057926</v>
      </c>
      <c r="V325" s="8">
        <f t="shared" si="168"/>
        <v>60.625640172644815</v>
      </c>
      <c r="W325" s="52">
        <f t="shared" si="169"/>
        <v>303.1282008632241</v>
      </c>
      <c r="X325" s="22">
        <v>263</v>
      </c>
      <c r="Y325" s="7"/>
      <c r="Z325" s="20">
        <v>263</v>
      </c>
      <c r="AA325" s="4">
        <v>235</v>
      </c>
      <c r="AB325" s="4">
        <v>235</v>
      </c>
      <c r="AC325" s="14">
        <f t="shared" si="163"/>
        <v>28.990723771584726</v>
      </c>
      <c r="AD325" s="56">
        <v>263.04683382426305</v>
      </c>
      <c r="AE325" s="17">
        <f t="shared" si="139"/>
        <v>1.1523735011604006</v>
      </c>
    </row>
    <row r="326" spans="1:31" ht="15">
      <c r="A326" s="43" t="s">
        <v>754</v>
      </c>
      <c r="B326" s="31" t="s">
        <v>208</v>
      </c>
      <c r="C326" s="7">
        <v>572624</v>
      </c>
      <c r="D326" s="7">
        <v>1650</v>
      </c>
      <c r="E326" s="7">
        <v>12</v>
      </c>
      <c r="F326" s="8">
        <f t="shared" si="172"/>
        <v>69.40896969696969</v>
      </c>
      <c r="G326" s="37">
        <v>389340</v>
      </c>
      <c r="H326" s="7">
        <v>1925</v>
      </c>
      <c r="I326" s="7">
        <v>9</v>
      </c>
      <c r="J326" s="8">
        <f t="shared" si="165"/>
        <v>30.338181818181816</v>
      </c>
      <c r="K326" s="7">
        <v>0</v>
      </c>
      <c r="L326" s="7">
        <v>1</v>
      </c>
      <c r="M326" s="7">
        <v>0</v>
      </c>
      <c r="N326" s="8">
        <f t="shared" si="152"/>
        <v>0</v>
      </c>
      <c r="O326" s="8">
        <f t="shared" si="166"/>
        <v>99.7471515151515</v>
      </c>
      <c r="P326" s="8">
        <f t="shared" si="170"/>
        <v>30.123639757575752</v>
      </c>
      <c r="Q326" s="58">
        <f t="shared" si="167"/>
        <v>101.74209454545453</v>
      </c>
      <c r="R326" s="78">
        <f>0.9+1.635*4+12*2</f>
        <v>31.44</v>
      </c>
      <c r="S326" s="76">
        <v>31.44</v>
      </c>
      <c r="T326" s="21">
        <f t="shared" si="171"/>
        <v>34.584</v>
      </c>
      <c r="U326" s="9">
        <f t="shared" si="153"/>
        <v>266.1968858181818</v>
      </c>
      <c r="V326" s="8">
        <f t="shared" si="168"/>
        <v>66.54922145454545</v>
      </c>
      <c r="W326" s="52">
        <f t="shared" si="169"/>
        <v>332.7461072727272</v>
      </c>
      <c r="X326" s="22">
        <v>283</v>
      </c>
      <c r="Y326" s="7"/>
      <c r="Z326" s="20">
        <v>283</v>
      </c>
      <c r="AA326" s="4">
        <v>162</v>
      </c>
      <c r="AB326" s="4">
        <v>300</v>
      </c>
      <c r="AC326" s="14">
        <f t="shared" si="163"/>
        <v>105.39883164983164</v>
      </c>
      <c r="AD326" s="56">
        <v>288.21545142857144</v>
      </c>
      <c r="AE326" s="17">
        <f t="shared" si="139"/>
        <v>1.1545047485255724</v>
      </c>
    </row>
    <row r="327" spans="1:31" ht="15">
      <c r="A327" s="43" t="s">
        <v>755</v>
      </c>
      <c r="B327" s="31" t="s">
        <v>41</v>
      </c>
      <c r="C327" s="7">
        <v>572624</v>
      </c>
      <c r="D327" s="7">
        <v>1650</v>
      </c>
      <c r="E327" s="7">
        <v>10</v>
      </c>
      <c r="F327" s="8">
        <f t="shared" si="172"/>
        <v>57.84080808080808</v>
      </c>
      <c r="G327" s="37">
        <v>389340</v>
      </c>
      <c r="H327" s="7">
        <v>1925</v>
      </c>
      <c r="I327" s="7">
        <v>5</v>
      </c>
      <c r="J327" s="8">
        <f t="shared" si="165"/>
        <v>16.854545454545452</v>
      </c>
      <c r="K327" s="7">
        <v>12093</v>
      </c>
      <c r="L327" s="7">
        <v>846720</v>
      </c>
      <c r="M327" s="7">
        <v>5</v>
      </c>
      <c r="N327" s="8">
        <f t="shared" si="152"/>
        <v>0.0714108560090703</v>
      </c>
      <c r="O327" s="8">
        <f t="shared" si="166"/>
        <v>74.7667643913626</v>
      </c>
      <c r="P327" s="8">
        <f t="shared" si="170"/>
        <v>22.579562846191504</v>
      </c>
      <c r="Q327" s="58">
        <f t="shared" si="167"/>
        <v>76.26209967918986</v>
      </c>
      <c r="R327" s="78">
        <f>1.635*6+1.39*5+0.83*4</f>
        <v>20.08</v>
      </c>
      <c r="S327" s="76">
        <v>20.08</v>
      </c>
      <c r="T327" s="21">
        <f t="shared" si="171"/>
        <v>22.088</v>
      </c>
      <c r="U327" s="9">
        <f t="shared" si="153"/>
        <v>195.76783777275304</v>
      </c>
      <c r="V327" s="8">
        <f t="shared" si="168"/>
        <v>48.94195944318826</v>
      </c>
      <c r="W327" s="52">
        <f t="shared" si="169"/>
        <v>244.7097972159413</v>
      </c>
      <c r="X327" s="22">
        <v>204</v>
      </c>
      <c r="Y327" s="7"/>
      <c r="Z327" s="20">
        <v>204</v>
      </c>
      <c r="AA327" s="4">
        <v>204</v>
      </c>
      <c r="AB327" s="4">
        <v>204</v>
      </c>
      <c r="AC327" s="14">
        <f t="shared" si="163"/>
        <v>19.95578294899083</v>
      </c>
      <c r="AD327" s="56">
        <v>208.59360848866856</v>
      </c>
      <c r="AE327" s="17">
        <f t="shared" si="139"/>
        <v>1.1731413967520232</v>
      </c>
    </row>
    <row r="328" spans="1:31" ht="30">
      <c r="A328" s="43" t="s">
        <v>756</v>
      </c>
      <c r="B328" s="31" t="s">
        <v>210</v>
      </c>
      <c r="C328" s="7">
        <v>572624</v>
      </c>
      <c r="D328" s="7">
        <v>1650</v>
      </c>
      <c r="E328" s="7">
        <v>15</v>
      </c>
      <c r="F328" s="8">
        <f t="shared" si="172"/>
        <v>86.76121212121213</v>
      </c>
      <c r="G328" s="37">
        <v>389340</v>
      </c>
      <c r="H328" s="7">
        <v>1925</v>
      </c>
      <c r="I328" s="7">
        <v>12</v>
      </c>
      <c r="J328" s="8">
        <f t="shared" si="165"/>
        <v>40.450909090909086</v>
      </c>
      <c r="K328" s="7">
        <v>0</v>
      </c>
      <c r="L328" s="7">
        <v>1</v>
      </c>
      <c r="M328" s="7">
        <v>0</v>
      </c>
      <c r="N328" s="8">
        <f t="shared" si="152"/>
        <v>0</v>
      </c>
      <c r="O328" s="8">
        <f t="shared" si="166"/>
        <v>127.21212121212122</v>
      </c>
      <c r="P328" s="8">
        <f t="shared" si="170"/>
        <v>38.41806060606061</v>
      </c>
      <c r="Q328" s="58">
        <f t="shared" si="167"/>
        <v>129.75636363636363</v>
      </c>
      <c r="R328" s="78">
        <f>2.8+0.33*5+0.1635*6</f>
        <v>5.431</v>
      </c>
      <c r="S328" s="76">
        <v>5.431</v>
      </c>
      <c r="T328" s="21">
        <f t="shared" si="171"/>
        <v>5.974100000000001</v>
      </c>
      <c r="U328" s="9">
        <f t="shared" si="153"/>
        <v>301.3606454545455</v>
      </c>
      <c r="V328" s="8">
        <f>U328*25%</f>
        <v>75.34016136363637</v>
      </c>
      <c r="W328" s="52">
        <f t="shared" si="169"/>
        <v>376.70080681818183</v>
      </c>
      <c r="X328" s="22">
        <v>321</v>
      </c>
      <c r="Y328" s="7"/>
      <c r="Z328" s="20">
        <v>321</v>
      </c>
      <c r="AB328" s="4">
        <v>300</v>
      </c>
      <c r="AC328" s="14"/>
      <c r="AD328" s="56">
        <v>321.50486989610386</v>
      </c>
      <c r="AE328" s="17">
        <f t="shared" si="139"/>
        <v>1.1716799404622233</v>
      </c>
    </row>
    <row r="329" spans="1:31" ht="15">
      <c r="A329" s="43" t="s">
        <v>757</v>
      </c>
      <c r="B329" s="31" t="s">
        <v>371</v>
      </c>
      <c r="C329" s="7">
        <v>572624</v>
      </c>
      <c r="D329" s="7">
        <v>1650</v>
      </c>
      <c r="E329" s="7">
        <v>12</v>
      </c>
      <c r="F329" s="8">
        <f t="shared" si="172"/>
        <v>69.40896969696969</v>
      </c>
      <c r="G329" s="37">
        <v>389340</v>
      </c>
      <c r="H329" s="7">
        <v>1925</v>
      </c>
      <c r="I329" s="7">
        <v>9</v>
      </c>
      <c r="J329" s="8">
        <f t="shared" si="165"/>
        <v>30.338181818181816</v>
      </c>
      <c r="K329" s="7">
        <v>245000</v>
      </c>
      <c r="L329" s="7">
        <v>846720</v>
      </c>
      <c r="M329" s="7">
        <v>10</v>
      </c>
      <c r="N329" s="8">
        <f t="shared" si="152"/>
        <v>2.8935185185185186</v>
      </c>
      <c r="O329" s="8">
        <f t="shared" si="166"/>
        <v>102.64067003367002</v>
      </c>
      <c r="P329" s="8">
        <f>O329*0.302</f>
        <v>30.997482350168344</v>
      </c>
      <c r="Q329" s="58">
        <f t="shared" si="167"/>
        <v>104.69348343434342</v>
      </c>
      <c r="R329" s="78">
        <f>0.83*2+1.99*3</f>
        <v>7.63</v>
      </c>
      <c r="S329" s="76">
        <v>7.63</v>
      </c>
      <c r="T329" s="21">
        <f t="shared" si="171"/>
        <v>8.393</v>
      </c>
      <c r="U329" s="9">
        <f t="shared" si="153"/>
        <v>249.61815433670031</v>
      </c>
      <c r="V329" s="8">
        <f>U329*25%</f>
        <v>62.40453858417508</v>
      </c>
      <c r="W329" s="52">
        <f>U329+V329</f>
        <v>312.0226929208754</v>
      </c>
      <c r="X329" s="22">
        <v>270</v>
      </c>
      <c r="Y329" s="7"/>
      <c r="Z329" s="20"/>
      <c r="AB329" s="4">
        <v>300</v>
      </c>
      <c r="AC329" s="14"/>
      <c r="AD329" s="56">
        <v>270.46828707671955</v>
      </c>
      <c r="AE329" s="17">
        <f t="shared" si="139"/>
        <v>1.1536387363312903</v>
      </c>
    </row>
    <row r="330" spans="1:31" ht="15">
      <c r="A330" s="43" t="s">
        <v>758</v>
      </c>
      <c r="B330" s="31" t="s">
        <v>372</v>
      </c>
      <c r="C330" s="7">
        <v>572624</v>
      </c>
      <c r="D330" s="7">
        <v>1650</v>
      </c>
      <c r="E330" s="7">
        <v>10</v>
      </c>
      <c r="F330" s="8">
        <f t="shared" si="172"/>
        <v>57.84080808080808</v>
      </c>
      <c r="G330" s="37">
        <v>389340</v>
      </c>
      <c r="H330" s="7">
        <v>1925</v>
      </c>
      <c r="I330" s="7">
        <v>5</v>
      </c>
      <c r="J330" s="8">
        <f t="shared" si="165"/>
        <v>16.854545454545452</v>
      </c>
      <c r="K330" s="7">
        <v>389251</v>
      </c>
      <c r="L330" s="7">
        <v>846720</v>
      </c>
      <c r="M330" s="7">
        <v>5</v>
      </c>
      <c r="N330" s="8">
        <f t="shared" si="152"/>
        <v>2.2985815854119425</v>
      </c>
      <c r="O330" s="8">
        <f t="shared" si="166"/>
        <v>76.99393512076547</v>
      </c>
      <c r="P330" s="8">
        <f>O330*0.302</f>
        <v>23.25216840647117</v>
      </c>
      <c r="Q330" s="58">
        <f t="shared" si="167"/>
        <v>78.53381382318078</v>
      </c>
      <c r="R330" s="78">
        <f>0.83*2+1.99*3</f>
        <v>7.63</v>
      </c>
      <c r="S330" s="79">
        <v>7.63</v>
      </c>
      <c r="T330" s="21">
        <f t="shared" si="171"/>
        <v>8.393</v>
      </c>
      <c r="U330" s="9">
        <f t="shared" si="153"/>
        <v>189.47149893582937</v>
      </c>
      <c r="V330" s="8">
        <f>U330*25%</f>
        <v>47.36787473395734</v>
      </c>
      <c r="W330" s="52">
        <f>U330+V330</f>
        <v>236.8393736697867</v>
      </c>
      <c r="X330" s="22">
        <v>200</v>
      </c>
      <c r="Y330" s="7"/>
      <c r="Z330" s="20"/>
      <c r="AB330" s="4">
        <v>300</v>
      </c>
      <c r="AC330" s="14"/>
      <c r="AD330" s="56">
        <v>202.279434942514</v>
      </c>
      <c r="AE330" s="17">
        <f t="shared" si="139"/>
        <v>1.1708524583188318</v>
      </c>
    </row>
    <row r="331" spans="1:29" ht="15">
      <c r="A331" s="43"/>
      <c r="B331" s="85" t="s">
        <v>144</v>
      </c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7"/>
      <c r="S331" s="87"/>
      <c r="T331" s="86"/>
      <c r="U331" s="86"/>
      <c r="V331" s="86"/>
      <c r="W331" s="88"/>
      <c r="X331" s="23"/>
      <c r="Y331" s="21"/>
      <c r="Z331" s="20"/>
      <c r="AC331" s="14"/>
    </row>
    <row r="332" spans="1:31" ht="15">
      <c r="A332" s="43" t="s">
        <v>759</v>
      </c>
      <c r="B332" s="31" t="s">
        <v>378</v>
      </c>
      <c r="C332" s="7">
        <v>572624</v>
      </c>
      <c r="D332" s="7">
        <v>1800</v>
      </c>
      <c r="E332" s="7">
        <v>5</v>
      </c>
      <c r="F332" s="8">
        <f>C332/D332/60*E332</f>
        <v>26.51037037037037</v>
      </c>
      <c r="G332" s="37">
        <v>389340</v>
      </c>
      <c r="H332" s="7">
        <v>1800</v>
      </c>
      <c r="I332" s="7">
        <v>1</v>
      </c>
      <c r="J332" s="8">
        <f aca="true" t="shared" si="173" ref="J332:J349">G332/H332/60*I332</f>
        <v>3.605</v>
      </c>
      <c r="K332" s="7">
        <f>'[2]Лист1'!$O$64</f>
        <v>91000</v>
      </c>
      <c r="L332" s="7">
        <v>846720</v>
      </c>
      <c r="M332" s="7">
        <v>10</v>
      </c>
      <c r="N332" s="8">
        <f t="shared" si="152"/>
        <v>1.0747354497354498</v>
      </c>
      <c r="O332" s="8">
        <f aca="true" t="shared" si="174" ref="O332:O366">F332+J332+N332</f>
        <v>31.19010582010582</v>
      </c>
      <c r="P332" s="8">
        <f>O332*0.302</f>
        <v>9.419411957671958</v>
      </c>
      <c r="Q332" s="58">
        <f>(O332)*102%</f>
        <v>31.81390793650794</v>
      </c>
      <c r="R332" s="78">
        <f>7.38+1.42*8+6.6+10.5*8+1.11+1.99*2</f>
        <v>114.43</v>
      </c>
      <c r="S332" s="79">
        <v>114.43</v>
      </c>
      <c r="T332" s="21">
        <f>S332*1.2</f>
        <v>137.316</v>
      </c>
      <c r="U332" s="9">
        <f t="shared" si="153"/>
        <v>210.81416116402116</v>
      </c>
      <c r="V332" s="8">
        <f t="shared" si="168"/>
        <v>52.70354029100529</v>
      </c>
      <c r="W332" s="52">
        <f aca="true" t="shared" si="175" ref="W332:W366">U332+V332</f>
        <v>263.51770145502644</v>
      </c>
      <c r="X332" s="22">
        <v>263.51770145502644</v>
      </c>
      <c r="Y332" s="7"/>
      <c r="Z332" s="20">
        <v>212</v>
      </c>
      <c r="AA332" s="4">
        <v>210</v>
      </c>
      <c r="AB332" s="4">
        <v>210</v>
      </c>
      <c r="AC332" s="14">
        <f t="shared" si="163"/>
        <v>25.48461974048878</v>
      </c>
      <c r="AD332" s="56">
        <v>222.50006175502648</v>
      </c>
      <c r="AE332" s="17">
        <f aca="true" t="shared" si="176" ref="AE332:AE437">W332/AD332</f>
        <v>1.1843488913057496</v>
      </c>
    </row>
    <row r="333" spans="1:31" ht="15">
      <c r="A333" s="43" t="s">
        <v>760</v>
      </c>
      <c r="B333" s="31" t="s">
        <v>379</v>
      </c>
      <c r="C333" s="7">
        <v>572624</v>
      </c>
      <c r="D333" s="7">
        <v>1800</v>
      </c>
      <c r="E333" s="7">
        <v>3</v>
      </c>
      <c r="F333" s="8">
        <f>C333/D333/60*E333</f>
        <v>15.906222222222222</v>
      </c>
      <c r="G333" s="37">
        <v>389340</v>
      </c>
      <c r="H333" s="7">
        <v>1800</v>
      </c>
      <c r="I333" s="7">
        <v>1</v>
      </c>
      <c r="J333" s="8">
        <f>G333/H333/60*I333</f>
        <v>3.605</v>
      </c>
      <c r="K333" s="7">
        <f>'[2]Лист1'!$O$1005</f>
        <v>18500</v>
      </c>
      <c r="L333" s="7">
        <v>846720</v>
      </c>
      <c r="M333" s="7">
        <v>5</v>
      </c>
      <c r="N333" s="8">
        <f>K333/L333*M333</f>
        <v>0.10924508692365836</v>
      </c>
      <c r="O333" s="8">
        <f>F333+J333+N333</f>
        <v>19.62046730914588</v>
      </c>
      <c r="P333" s="8">
        <f>O333*0.302</f>
        <v>5.925381127362056</v>
      </c>
      <c r="Q333" s="58">
        <f aca="true" t="shared" si="177" ref="Q333:Q426">(O333)*102%</f>
        <v>20.0128766553288</v>
      </c>
      <c r="R333" s="78">
        <f>7.38+1.42+1.11+1.15*100+1.99*2+6.6+0.66</f>
        <v>136.14999999999998</v>
      </c>
      <c r="S333" s="79">
        <v>136.14999999999998</v>
      </c>
      <c r="T333" s="21">
        <f aca="true" t="shared" si="178" ref="T333:T439">S333*1.2</f>
        <v>163.37999999999997</v>
      </c>
      <c r="U333" s="9">
        <f t="shared" si="153"/>
        <v>209.04797017876035</v>
      </c>
      <c r="V333" s="8">
        <f>U333*25%</f>
        <v>52.26199254469009</v>
      </c>
      <c r="W333" s="52">
        <f>U333+V333</f>
        <v>261.30996272345044</v>
      </c>
      <c r="X333" s="22">
        <v>261.30996272345044</v>
      </c>
      <c r="Y333" s="7"/>
      <c r="Z333" s="20">
        <v>212</v>
      </c>
      <c r="AA333" s="4">
        <v>210</v>
      </c>
      <c r="AB333" s="4">
        <v>210</v>
      </c>
      <c r="AC333" s="14">
        <f>(100*W333)/AA333-100</f>
        <v>24.433315582595455</v>
      </c>
      <c r="AD333" s="56">
        <v>227.45314442345048</v>
      </c>
      <c r="AE333" s="17">
        <f t="shared" si="176"/>
        <v>1.1488518366533047</v>
      </c>
    </row>
    <row r="334" spans="1:31" ht="15">
      <c r="A334" s="43" t="s">
        <v>761</v>
      </c>
      <c r="B334" s="31" t="s">
        <v>243</v>
      </c>
      <c r="C334" s="7">
        <v>572624</v>
      </c>
      <c r="D334" s="7">
        <v>1800</v>
      </c>
      <c r="E334" s="7">
        <v>10</v>
      </c>
      <c r="F334" s="8">
        <f aca="true" t="shared" si="179" ref="F334:F340">C334/D334/60*E334</f>
        <v>53.02074074074074</v>
      </c>
      <c r="G334" s="37">
        <v>389340</v>
      </c>
      <c r="H334" s="7">
        <v>1800</v>
      </c>
      <c r="I334" s="7">
        <v>5</v>
      </c>
      <c r="J334" s="8">
        <f t="shared" si="173"/>
        <v>18.025</v>
      </c>
      <c r="K334" s="7">
        <v>3300</v>
      </c>
      <c r="L334" s="7">
        <v>846720</v>
      </c>
      <c r="M334" s="7">
        <v>10</v>
      </c>
      <c r="N334" s="8">
        <f aca="true" t="shared" si="180" ref="N334:N452">K334/L334*M334</f>
        <v>0.03897392290249433</v>
      </c>
      <c r="O334" s="8">
        <f t="shared" si="174"/>
        <v>71.08471466364324</v>
      </c>
      <c r="P334" s="8">
        <f aca="true" t="shared" si="181" ref="P334:P423">O334*0.302</f>
        <v>21.467583828420256</v>
      </c>
      <c r="Q334" s="58">
        <f t="shared" si="177"/>
        <v>72.5064089569161</v>
      </c>
      <c r="R334" s="78">
        <f>7.38+10.5+1.11+1.99</f>
        <v>20.979999999999997</v>
      </c>
      <c r="S334" s="79">
        <v>20.979999999999997</v>
      </c>
      <c r="T334" s="21">
        <f t="shared" si="178"/>
        <v>25.175999999999995</v>
      </c>
      <c r="U334" s="9">
        <f t="shared" si="153"/>
        <v>190.2736813718821</v>
      </c>
      <c r="V334" s="8">
        <f>U334*25%</f>
        <v>47.568420342970526</v>
      </c>
      <c r="W334" s="52">
        <f t="shared" si="175"/>
        <v>237.84210171485262</v>
      </c>
      <c r="X334" s="22">
        <v>237.84210171485262</v>
      </c>
      <c r="Y334" s="7"/>
      <c r="Z334" s="20">
        <v>195</v>
      </c>
      <c r="AA334" s="4">
        <v>113</v>
      </c>
      <c r="AB334" s="4">
        <v>220</v>
      </c>
      <c r="AC334" s="14">
        <f t="shared" si="163"/>
        <v>110.47973603084301</v>
      </c>
      <c r="AD334" s="56">
        <v>207.4963290148526</v>
      </c>
      <c r="AE334" s="17">
        <f t="shared" si="176"/>
        <v>1.146247275043733</v>
      </c>
    </row>
    <row r="335" spans="1:31" ht="15">
      <c r="A335" s="43" t="s">
        <v>762</v>
      </c>
      <c r="B335" s="31" t="s">
        <v>435</v>
      </c>
      <c r="C335" s="7">
        <v>572624</v>
      </c>
      <c r="D335" s="7">
        <v>1800</v>
      </c>
      <c r="E335" s="7">
        <v>9</v>
      </c>
      <c r="F335" s="8">
        <f>C335/D335/60*E335</f>
        <v>47.718666666666664</v>
      </c>
      <c r="G335" s="37">
        <v>389340</v>
      </c>
      <c r="H335" s="7">
        <v>1800</v>
      </c>
      <c r="I335" s="7">
        <v>3</v>
      </c>
      <c r="J335" s="8">
        <f>G335/H335/60*I335</f>
        <v>10.815</v>
      </c>
      <c r="K335" s="7">
        <f>'[2]Лист1'!$O$1005+'[2]Лист1'!$O$580</f>
        <v>23500</v>
      </c>
      <c r="L335" s="7">
        <v>846720</v>
      </c>
      <c r="M335" s="7">
        <v>6</v>
      </c>
      <c r="N335" s="8">
        <f>K335/L335*M335</f>
        <v>0.1665249433106576</v>
      </c>
      <c r="O335" s="8">
        <f>F335+J335+N335</f>
        <v>58.70019160997732</v>
      </c>
      <c r="P335" s="8">
        <f>O335*0.302</f>
        <v>17.72745786621315</v>
      </c>
      <c r="Q335" s="58">
        <f t="shared" si="177"/>
        <v>59.87419544217686</v>
      </c>
      <c r="R335" s="78">
        <f>7.38*2+0.67+0.45+0.63+1.15*3+2+1.99*2</f>
        <v>25.939999999999998</v>
      </c>
      <c r="S335" s="79">
        <v>25.939999999999998</v>
      </c>
      <c r="T335" s="21">
        <f t="shared" si="178"/>
        <v>31.127999999999997</v>
      </c>
      <c r="U335" s="9">
        <f t="shared" si="153"/>
        <v>167.59636986167797</v>
      </c>
      <c r="V335" s="8">
        <f>U335*25%</f>
        <v>41.89909246541949</v>
      </c>
      <c r="W335" s="52">
        <f>U335+V335</f>
        <v>209.49546232709747</v>
      </c>
      <c r="X335" s="22">
        <v>209.49546232709747</v>
      </c>
      <c r="Y335" s="7"/>
      <c r="Z335" s="20"/>
      <c r="AA335" s="4">
        <v>110</v>
      </c>
      <c r="AB335" s="4">
        <v>150</v>
      </c>
      <c r="AC335" s="14">
        <f>(100*W335)/AA335-100</f>
        <v>90.45042029736135</v>
      </c>
      <c r="AD335" s="56">
        <v>179.9567046270975</v>
      </c>
      <c r="AE335" s="17">
        <f t="shared" si="176"/>
        <v>1.1641436909017064</v>
      </c>
    </row>
    <row r="336" spans="1:31" ht="15">
      <c r="A336" s="43" t="s">
        <v>763</v>
      </c>
      <c r="B336" s="31" t="s">
        <v>440</v>
      </c>
      <c r="C336" s="7">
        <v>572624</v>
      </c>
      <c r="D336" s="7">
        <v>1800</v>
      </c>
      <c r="E336" s="7">
        <v>9</v>
      </c>
      <c r="F336" s="8">
        <f t="shared" si="179"/>
        <v>47.718666666666664</v>
      </c>
      <c r="G336" s="37">
        <v>389340</v>
      </c>
      <c r="H336" s="7">
        <v>1800</v>
      </c>
      <c r="I336" s="7">
        <v>3</v>
      </c>
      <c r="J336" s="8">
        <f t="shared" si="173"/>
        <v>10.815</v>
      </c>
      <c r="K336" s="7">
        <f>'[2]Лист1'!$O$1005</f>
        <v>18500</v>
      </c>
      <c r="L336" s="7">
        <v>846720</v>
      </c>
      <c r="M336" s="7">
        <v>6</v>
      </c>
      <c r="N336" s="8">
        <f t="shared" si="180"/>
        <v>0.13109410430839002</v>
      </c>
      <c r="O336" s="8">
        <f t="shared" si="174"/>
        <v>58.66476077097505</v>
      </c>
      <c r="P336" s="8">
        <f t="shared" si="181"/>
        <v>17.716757752834464</v>
      </c>
      <c r="Q336" s="58">
        <f t="shared" si="177"/>
        <v>59.83805598639455</v>
      </c>
      <c r="R336" s="78">
        <f>7.38*2+1+1.15*3+1.99*2+1.11</f>
        <v>24.3</v>
      </c>
      <c r="S336" s="79">
        <v>24.3</v>
      </c>
      <c r="T336" s="21">
        <f t="shared" si="178"/>
        <v>29.16</v>
      </c>
      <c r="U336" s="9">
        <f t="shared" si="153"/>
        <v>165.51066861451247</v>
      </c>
      <c r="V336" s="8">
        <f t="shared" si="168"/>
        <v>41.37766715362812</v>
      </c>
      <c r="W336" s="52">
        <f t="shared" si="175"/>
        <v>206.8883357681406</v>
      </c>
      <c r="X336" s="22">
        <v>206.8883357681406</v>
      </c>
      <c r="Y336" s="7"/>
      <c r="Z336" s="20">
        <v>116</v>
      </c>
      <c r="AA336" s="4">
        <v>110</v>
      </c>
      <c r="AB336" s="4">
        <v>150</v>
      </c>
      <c r="AC336" s="14">
        <f t="shared" si="163"/>
        <v>88.08030524376417</v>
      </c>
      <c r="AD336" s="56">
        <v>179.8657352681406</v>
      </c>
      <c r="AE336" s="17">
        <f t="shared" si="176"/>
        <v>1.1502376228563778</v>
      </c>
    </row>
    <row r="337" spans="1:31" ht="15">
      <c r="A337" s="43" t="s">
        <v>764</v>
      </c>
      <c r="B337" s="31" t="s">
        <v>444</v>
      </c>
      <c r="C337" s="7">
        <v>572624</v>
      </c>
      <c r="D337" s="7">
        <v>1800</v>
      </c>
      <c r="E337" s="7">
        <v>5</v>
      </c>
      <c r="F337" s="8">
        <f t="shared" si="179"/>
        <v>26.51037037037037</v>
      </c>
      <c r="G337" s="37">
        <v>389340</v>
      </c>
      <c r="H337" s="7">
        <v>1800</v>
      </c>
      <c r="I337" s="7">
        <v>3</v>
      </c>
      <c r="J337" s="8">
        <f t="shared" si="173"/>
        <v>10.815</v>
      </c>
      <c r="K337" s="7">
        <f>'[2]Лист1'!$O$1005</f>
        <v>18500</v>
      </c>
      <c r="L337" s="7">
        <v>846720</v>
      </c>
      <c r="M337" s="7">
        <v>4</v>
      </c>
      <c r="N337" s="8">
        <f t="shared" si="180"/>
        <v>0.08739606953892669</v>
      </c>
      <c r="O337" s="8">
        <f t="shared" si="174"/>
        <v>37.4127664399093</v>
      </c>
      <c r="P337" s="8">
        <f t="shared" si="181"/>
        <v>11.298655464852608</v>
      </c>
      <c r="Q337" s="58">
        <f t="shared" si="177"/>
        <v>38.161021768707485</v>
      </c>
      <c r="R337" s="78">
        <f>7.38*2+6+2+1.42+1.15*3+2.1+1.99*2+1.11+0.83*5+3.1+1.7</f>
        <v>43.77</v>
      </c>
      <c r="S337" s="79">
        <v>43.77</v>
      </c>
      <c r="T337" s="21">
        <f t="shared" si="178"/>
        <v>52.524</v>
      </c>
      <c r="U337" s="9">
        <f t="shared" si="153"/>
        <v>139.48383974300833</v>
      </c>
      <c r="V337" s="8">
        <f t="shared" si="168"/>
        <v>34.87095993575208</v>
      </c>
      <c r="W337" s="52">
        <f t="shared" si="175"/>
        <v>174.3547996787604</v>
      </c>
      <c r="X337" s="22">
        <v>174.3547996787604</v>
      </c>
      <c r="Y337" s="7"/>
      <c r="Z337" s="20">
        <v>128</v>
      </c>
      <c r="AA337" s="4">
        <v>153</v>
      </c>
      <c r="AB337" s="4">
        <v>153</v>
      </c>
      <c r="AC337" s="14">
        <f t="shared" si="163"/>
        <v>13.957385410954501</v>
      </c>
      <c r="AD337" s="56">
        <v>151.5647805787604</v>
      </c>
      <c r="AE337" s="17">
        <f t="shared" si="176"/>
        <v>1.1503648737719592</v>
      </c>
    </row>
    <row r="338" spans="1:31" ht="15">
      <c r="A338" s="43" t="s">
        <v>765</v>
      </c>
      <c r="B338" s="31" t="s">
        <v>102</v>
      </c>
      <c r="C338" s="7">
        <v>572624</v>
      </c>
      <c r="D338" s="7">
        <v>1800</v>
      </c>
      <c r="E338" s="7">
        <v>4</v>
      </c>
      <c r="F338" s="8">
        <f t="shared" si="179"/>
        <v>21.208296296296297</v>
      </c>
      <c r="G338" s="37">
        <v>389340</v>
      </c>
      <c r="H338" s="7">
        <v>1800</v>
      </c>
      <c r="I338" s="7">
        <v>3</v>
      </c>
      <c r="J338" s="8">
        <f t="shared" si="173"/>
        <v>10.815</v>
      </c>
      <c r="K338" s="7">
        <f>'[2]Лист1'!$O$630</f>
        <v>850715</v>
      </c>
      <c r="L338" s="7">
        <v>846720</v>
      </c>
      <c r="M338" s="7">
        <v>4</v>
      </c>
      <c r="N338" s="8">
        <f t="shared" si="180"/>
        <v>4.018872826908541</v>
      </c>
      <c r="O338" s="8">
        <f t="shared" si="174"/>
        <v>36.042169123204836</v>
      </c>
      <c r="P338" s="8">
        <f t="shared" si="181"/>
        <v>10.88473507520786</v>
      </c>
      <c r="Q338" s="58">
        <f t="shared" si="177"/>
        <v>36.76301250566893</v>
      </c>
      <c r="R338" s="78">
        <f>7.38*2+1.15*3+1.99*5+0.83*2+1.36*4+1.545*2.5+0.6*2.6+1.11+3.1</f>
        <v>44.8925</v>
      </c>
      <c r="S338" s="79">
        <v>44.8925</v>
      </c>
      <c r="T338" s="21">
        <f t="shared" si="178"/>
        <v>53.870999999999995</v>
      </c>
      <c r="U338" s="9">
        <f t="shared" si="153"/>
        <v>141.57978953099018</v>
      </c>
      <c r="V338" s="8">
        <f t="shared" si="168"/>
        <v>35.394947382747546</v>
      </c>
      <c r="W338" s="52">
        <f t="shared" si="175"/>
        <v>176.97473691373773</v>
      </c>
      <c r="X338" s="22">
        <v>176.97473691373773</v>
      </c>
      <c r="Y338" s="7"/>
      <c r="Z338" s="20">
        <v>128</v>
      </c>
      <c r="AA338" s="4">
        <v>161</v>
      </c>
      <c r="AB338" s="4">
        <v>161</v>
      </c>
      <c r="AC338" s="14">
        <f t="shared" si="163"/>
        <v>9.922196840830878</v>
      </c>
      <c r="AD338" s="56">
        <v>153.2118014137377</v>
      </c>
      <c r="AE338" s="17">
        <f t="shared" si="176"/>
        <v>1.1550985973712944</v>
      </c>
    </row>
    <row r="339" spans="1:31" ht="15">
      <c r="A339" s="43" t="s">
        <v>766</v>
      </c>
      <c r="B339" s="31" t="s">
        <v>244</v>
      </c>
      <c r="C339" s="7">
        <v>572624</v>
      </c>
      <c r="D339" s="7">
        <v>1800</v>
      </c>
      <c r="E339" s="7">
        <v>9</v>
      </c>
      <c r="F339" s="8">
        <f t="shared" si="179"/>
        <v>47.718666666666664</v>
      </c>
      <c r="G339" s="37">
        <v>389340</v>
      </c>
      <c r="H339" s="7">
        <v>1800</v>
      </c>
      <c r="I339" s="7">
        <v>6</v>
      </c>
      <c r="J339" s="8">
        <f t="shared" si="173"/>
        <v>21.63</v>
      </c>
      <c r="K339" s="7">
        <f>'[2]Лист1'!$O$1005</f>
        <v>18500</v>
      </c>
      <c r="L339" s="7">
        <v>846720</v>
      </c>
      <c r="M339" s="7">
        <v>5</v>
      </c>
      <c r="N339" s="8">
        <f t="shared" si="180"/>
        <v>0.10924508692365836</v>
      </c>
      <c r="O339" s="8">
        <f t="shared" si="174"/>
        <v>69.45791175359032</v>
      </c>
      <c r="P339" s="8">
        <f t="shared" si="181"/>
        <v>20.976289349584277</v>
      </c>
      <c r="Q339" s="58">
        <f t="shared" si="177"/>
        <v>70.84706998866213</v>
      </c>
      <c r="R339" s="78">
        <f>7.38*2+2+1.15*3+1.99*2+1.11+0.21*3+8.72+1.7+1.8491*2.5</f>
        <v>40.972750000000005</v>
      </c>
      <c r="S339" s="79">
        <v>40.972750000000005</v>
      </c>
      <c r="T339" s="21">
        <f t="shared" si="178"/>
        <v>49.167300000000004</v>
      </c>
      <c r="U339" s="9">
        <f t="shared" si="153"/>
        <v>210.5578161787604</v>
      </c>
      <c r="V339" s="8">
        <f t="shared" si="168"/>
        <v>52.6394540446901</v>
      </c>
      <c r="W339" s="52">
        <f t="shared" si="175"/>
        <v>263.19727022345046</v>
      </c>
      <c r="X339" s="22">
        <v>263.19727022345046</v>
      </c>
      <c r="Y339" s="7"/>
      <c r="Z339" s="20">
        <v>198</v>
      </c>
      <c r="AA339" s="4">
        <v>242</v>
      </c>
      <c r="AB339" s="4">
        <v>250</v>
      </c>
      <c r="AC339" s="14">
        <f t="shared" si="163"/>
        <v>8.759202571673754</v>
      </c>
      <c r="AD339" s="56">
        <v>225.2648261234505</v>
      </c>
      <c r="AE339" s="17">
        <f t="shared" si="176"/>
        <v>1.1683904440510038</v>
      </c>
    </row>
    <row r="340" spans="1:31" ht="15">
      <c r="A340" s="43" t="s">
        <v>767</v>
      </c>
      <c r="B340" s="31" t="s">
        <v>245</v>
      </c>
      <c r="C340" s="7">
        <v>572624</v>
      </c>
      <c r="D340" s="7">
        <v>1800</v>
      </c>
      <c r="E340" s="7">
        <v>17</v>
      </c>
      <c r="F340" s="8">
        <f t="shared" si="179"/>
        <v>90.13525925925926</v>
      </c>
      <c r="G340" s="37">
        <v>389340</v>
      </c>
      <c r="H340" s="7">
        <v>1800</v>
      </c>
      <c r="I340" s="7">
        <v>12</v>
      </c>
      <c r="J340" s="8">
        <f t="shared" si="173"/>
        <v>43.26</v>
      </c>
      <c r="K340" s="7">
        <f>'[2]Лист1'!$O$1005</f>
        <v>18500</v>
      </c>
      <c r="L340" s="7">
        <v>846720</v>
      </c>
      <c r="M340" s="7">
        <v>10</v>
      </c>
      <c r="N340" s="8">
        <f t="shared" si="180"/>
        <v>0.21849017384731673</v>
      </c>
      <c r="O340" s="8">
        <f t="shared" si="174"/>
        <v>133.6137494331066</v>
      </c>
      <c r="P340" s="8">
        <f t="shared" si="181"/>
        <v>40.35135232879819</v>
      </c>
      <c r="Q340" s="58">
        <f t="shared" si="177"/>
        <v>136.28602442176873</v>
      </c>
      <c r="R340" s="78">
        <f>7.38*2+1.15*3+0.83*5+1.99*2+1.154*5+1.42+0.27*10+0.18*10+4+1.15*9+1.11+3.6</f>
        <v>57.09</v>
      </c>
      <c r="S340" s="79">
        <v>57.09</v>
      </c>
      <c r="T340" s="21">
        <f t="shared" si="178"/>
        <v>68.508</v>
      </c>
      <c r="U340" s="9">
        <f t="shared" si="153"/>
        <v>378.97761635752084</v>
      </c>
      <c r="V340" s="8">
        <f t="shared" si="168"/>
        <v>94.74440408938021</v>
      </c>
      <c r="W340" s="52">
        <f t="shared" si="175"/>
        <v>473.72202044690107</v>
      </c>
      <c r="X340" s="22">
        <v>473.72202044690107</v>
      </c>
      <c r="Y340" s="7"/>
      <c r="Z340" s="20">
        <v>389</v>
      </c>
      <c r="AA340" s="4">
        <v>367</v>
      </c>
      <c r="AB340" s="4">
        <v>367</v>
      </c>
      <c r="AC340" s="14">
        <f t="shared" si="163"/>
        <v>29.079569604060254</v>
      </c>
      <c r="AD340" s="56">
        <v>410.892957246901</v>
      </c>
      <c r="AE340" s="17">
        <f t="shared" si="176"/>
        <v>1.152908591135201</v>
      </c>
    </row>
    <row r="341" spans="1:31" ht="15">
      <c r="A341" s="43" t="s">
        <v>768</v>
      </c>
      <c r="B341" s="31" t="s">
        <v>25</v>
      </c>
      <c r="C341" s="7"/>
      <c r="D341" s="7"/>
      <c r="E341" s="7"/>
      <c r="F341" s="8"/>
      <c r="G341" s="37">
        <v>389340</v>
      </c>
      <c r="H341" s="7">
        <v>1800</v>
      </c>
      <c r="I341" s="7">
        <v>32</v>
      </c>
      <c r="J341" s="8">
        <f t="shared" si="173"/>
        <v>115.36</v>
      </c>
      <c r="K341" s="7">
        <v>0</v>
      </c>
      <c r="L341" s="7">
        <v>1</v>
      </c>
      <c r="M341" s="7">
        <v>0</v>
      </c>
      <c r="N341" s="8">
        <f t="shared" si="180"/>
        <v>0</v>
      </c>
      <c r="O341" s="8">
        <f t="shared" si="174"/>
        <v>115.36</v>
      </c>
      <c r="P341" s="8">
        <f t="shared" si="181"/>
        <v>34.83872</v>
      </c>
      <c r="Q341" s="58">
        <f t="shared" si="177"/>
        <v>117.66720000000001</v>
      </c>
      <c r="R341" s="78">
        <f>14+0.83*5+1.15*3+8.65+3.1+1.11</f>
        <v>34.46</v>
      </c>
      <c r="S341" s="79">
        <v>34.46</v>
      </c>
      <c r="T341" s="21">
        <f t="shared" si="178"/>
        <v>41.352</v>
      </c>
      <c r="U341" s="9">
        <f t="shared" si="153"/>
        <v>309.21792</v>
      </c>
      <c r="V341" s="8">
        <f t="shared" si="168"/>
        <v>77.30448</v>
      </c>
      <c r="W341" s="52">
        <f t="shared" si="175"/>
        <v>386.5224</v>
      </c>
      <c r="X341" s="22">
        <v>386.5224</v>
      </c>
      <c r="Y341" s="7"/>
      <c r="Z341" s="20">
        <v>317</v>
      </c>
      <c r="AA341" s="4">
        <v>274</v>
      </c>
      <c r="AB341" s="4">
        <v>274</v>
      </c>
      <c r="AC341" s="14">
        <f t="shared" si="163"/>
        <v>41.06656934306568</v>
      </c>
      <c r="AD341" s="56">
        <v>336.1304146</v>
      </c>
      <c r="AE341" s="17">
        <f t="shared" si="176"/>
        <v>1.1499179580638879</v>
      </c>
    </row>
    <row r="342" spans="1:31" ht="15">
      <c r="A342" s="43" t="s">
        <v>769</v>
      </c>
      <c r="B342" s="31" t="s">
        <v>51</v>
      </c>
      <c r="C342" s="7"/>
      <c r="D342" s="7"/>
      <c r="E342" s="7"/>
      <c r="F342" s="8"/>
      <c r="G342" s="37">
        <v>389340</v>
      </c>
      <c r="H342" s="7">
        <v>1800</v>
      </c>
      <c r="I342" s="7">
        <v>2</v>
      </c>
      <c r="J342" s="8">
        <f t="shared" si="173"/>
        <v>7.21</v>
      </c>
      <c r="K342" s="7">
        <f>'[2]Лист1'!$O$630</f>
        <v>850715</v>
      </c>
      <c r="L342" s="7">
        <v>846720</v>
      </c>
      <c r="M342" s="7">
        <v>1</v>
      </c>
      <c r="N342" s="8">
        <f t="shared" si="180"/>
        <v>1.0047182067271352</v>
      </c>
      <c r="O342" s="8">
        <f t="shared" si="174"/>
        <v>8.214718206727134</v>
      </c>
      <c r="P342" s="8">
        <f t="shared" si="181"/>
        <v>2.4808448984315947</v>
      </c>
      <c r="Q342" s="58">
        <f t="shared" si="177"/>
        <v>8.379012570861677</v>
      </c>
      <c r="R342" s="78">
        <f>7.38*2+0.83*5+1.15*3+8.65+3.1+1.11+1.99*2+1.36*40+1.545*2.5+0.6*2.6</f>
        <v>99.0225</v>
      </c>
      <c r="S342" s="79">
        <v>99.0225</v>
      </c>
      <c r="T342" s="21">
        <f t="shared" si="178"/>
        <v>118.82699999999998</v>
      </c>
      <c r="U342" s="9">
        <f t="shared" si="153"/>
        <v>138.90629388274752</v>
      </c>
      <c r="V342" s="8">
        <f t="shared" si="168"/>
        <v>34.72657347068688</v>
      </c>
      <c r="W342" s="52">
        <f t="shared" si="175"/>
        <v>173.6328673534344</v>
      </c>
      <c r="X342" s="22">
        <v>173.6328673534344</v>
      </c>
      <c r="Y342" s="7"/>
      <c r="Z342" s="20">
        <v>117</v>
      </c>
      <c r="AA342" s="4">
        <v>113</v>
      </c>
      <c r="AB342" s="4">
        <v>113</v>
      </c>
      <c r="AC342" s="14">
        <f t="shared" si="163"/>
        <v>53.657404737552554</v>
      </c>
      <c r="AD342" s="56">
        <v>150.49294155343443</v>
      </c>
      <c r="AE342" s="17">
        <f t="shared" si="176"/>
        <v>1.1537608711820138</v>
      </c>
    </row>
    <row r="343" spans="1:31" ht="30">
      <c r="A343" s="43" t="s">
        <v>770</v>
      </c>
      <c r="B343" s="31" t="s">
        <v>103</v>
      </c>
      <c r="C343" s="7">
        <v>572624</v>
      </c>
      <c r="D343" s="7">
        <v>1800</v>
      </c>
      <c r="E343" s="7">
        <v>1</v>
      </c>
      <c r="F343" s="8">
        <f aca="true" t="shared" si="182" ref="F343:F349">C343/D343/60*E343</f>
        <v>5.302074074074074</v>
      </c>
      <c r="G343" s="37">
        <v>389340</v>
      </c>
      <c r="H343" s="7">
        <v>1800</v>
      </c>
      <c r="I343" s="7">
        <v>2</v>
      </c>
      <c r="J343" s="8">
        <f t="shared" si="173"/>
        <v>7.21</v>
      </c>
      <c r="K343" s="7">
        <f>'[2]Лист1'!$O$630</f>
        <v>850715</v>
      </c>
      <c r="L343" s="7">
        <v>846721</v>
      </c>
      <c r="M343" s="7">
        <v>2</v>
      </c>
      <c r="N343" s="8">
        <f t="shared" si="180"/>
        <v>2.0094340402564717</v>
      </c>
      <c r="O343" s="8">
        <f t="shared" si="174"/>
        <v>14.521508114330548</v>
      </c>
      <c r="P343" s="8">
        <f t="shared" si="181"/>
        <v>4.385495450527825</v>
      </c>
      <c r="Q343" s="58">
        <f t="shared" si="177"/>
        <v>14.811938276617159</v>
      </c>
      <c r="R343" s="78">
        <f>7.38*2+0.83*5+1.15*3+3.1+1.11+1.36*40+1.545*2.5+0.6*2.6</f>
        <v>86.3925</v>
      </c>
      <c r="S343" s="79">
        <v>86.3925</v>
      </c>
      <c r="T343" s="21">
        <f t="shared" si="178"/>
        <v>103.67099999999999</v>
      </c>
      <c r="U343" s="9">
        <f t="shared" si="153"/>
        <v>139.399375881732</v>
      </c>
      <c r="V343" s="8">
        <f t="shared" si="168"/>
        <v>34.849843970433</v>
      </c>
      <c r="W343" s="52">
        <f t="shared" si="175"/>
        <v>174.249219852165</v>
      </c>
      <c r="X343" s="22">
        <v>174.249219852165</v>
      </c>
      <c r="Y343" s="7"/>
      <c r="Z343" s="20">
        <v>172</v>
      </c>
      <c r="AA343" s="4">
        <v>161</v>
      </c>
      <c r="AB343" s="4">
        <v>161</v>
      </c>
      <c r="AC343" s="14">
        <f t="shared" si="163"/>
        <v>8.229329100723604</v>
      </c>
      <c r="AD343" s="56">
        <v>149.551001252165</v>
      </c>
      <c r="AE343" s="17">
        <f t="shared" si="176"/>
        <v>1.165149135700905</v>
      </c>
    </row>
    <row r="344" spans="1:31" ht="15">
      <c r="A344" s="43" t="s">
        <v>771</v>
      </c>
      <c r="B344" s="31" t="s">
        <v>75</v>
      </c>
      <c r="C344" s="7">
        <v>572624</v>
      </c>
      <c r="D344" s="7">
        <v>1800</v>
      </c>
      <c r="E344" s="7">
        <v>3</v>
      </c>
      <c r="F344" s="8">
        <f t="shared" si="182"/>
        <v>15.906222222222222</v>
      </c>
      <c r="G344" s="37">
        <v>389340</v>
      </c>
      <c r="H344" s="7">
        <v>1800</v>
      </c>
      <c r="I344" s="7">
        <v>3</v>
      </c>
      <c r="J344" s="8">
        <f t="shared" si="173"/>
        <v>10.815</v>
      </c>
      <c r="K344" s="7">
        <f>'[2]Лист1'!$O$630+'[2]Лист1'!$O$1004</f>
        <v>869215</v>
      </c>
      <c r="L344" s="7">
        <v>846721</v>
      </c>
      <c r="M344" s="7">
        <v>5</v>
      </c>
      <c r="N344" s="8">
        <f t="shared" si="180"/>
        <v>5.132830058543487</v>
      </c>
      <c r="O344" s="8">
        <f t="shared" si="174"/>
        <v>31.85405228076571</v>
      </c>
      <c r="P344" s="8">
        <f t="shared" si="181"/>
        <v>9.619923788791244</v>
      </c>
      <c r="Q344" s="58">
        <f t="shared" si="177"/>
        <v>32.491133326381025</v>
      </c>
      <c r="R344" s="78">
        <f>7.38*2+0.83*5+1.15*3+3.1+8.65+1.11+1.99*2+1.36*40+1.545*2.5+0.6*2.6+2.83*0.8+3.553*0.6142+7.9+1.7+0.6+0.675+0.45+1</f>
        <v>115.79375259999999</v>
      </c>
      <c r="S344" s="79">
        <v>115.79375259999999</v>
      </c>
      <c r="T344" s="21">
        <f t="shared" si="178"/>
        <v>138.95250312</v>
      </c>
      <c r="U344" s="9">
        <f t="shared" si="153"/>
        <v>218.05044257448145</v>
      </c>
      <c r="V344" s="8">
        <f t="shared" si="168"/>
        <v>54.51261064362036</v>
      </c>
      <c r="W344" s="52">
        <f t="shared" si="175"/>
        <v>272.5630532181018</v>
      </c>
      <c r="X344" s="22">
        <v>272.5630532181018</v>
      </c>
      <c r="Y344" s="7"/>
      <c r="Z344" s="20">
        <v>220</v>
      </c>
      <c r="AA344" s="4">
        <v>201</v>
      </c>
      <c r="AB344" s="4">
        <v>230</v>
      </c>
      <c r="AC344" s="14">
        <f t="shared" si="163"/>
        <v>35.60350906373225</v>
      </c>
      <c r="AD344" s="56">
        <v>231.43559176810183</v>
      </c>
      <c r="AE344" s="17">
        <f t="shared" si="176"/>
        <v>1.177705862507136</v>
      </c>
    </row>
    <row r="345" spans="1:31" ht="15">
      <c r="A345" s="43" t="s">
        <v>772</v>
      </c>
      <c r="B345" s="31" t="s">
        <v>76</v>
      </c>
      <c r="C345" s="7">
        <v>572624</v>
      </c>
      <c r="D345" s="7">
        <v>1800</v>
      </c>
      <c r="E345" s="7">
        <v>8</v>
      </c>
      <c r="F345" s="8">
        <f t="shared" si="182"/>
        <v>42.41659259259259</v>
      </c>
      <c r="G345" s="37">
        <v>389340</v>
      </c>
      <c r="H345" s="7">
        <v>1800</v>
      </c>
      <c r="I345" s="7">
        <v>6</v>
      </c>
      <c r="J345" s="8">
        <f t="shared" si="173"/>
        <v>21.63</v>
      </c>
      <c r="K345" s="7">
        <f>'[2]Лист1'!$O$64+'[2]Лист1'!$O$1004</f>
        <v>109500</v>
      </c>
      <c r="L345" s="7">
        <v>846721</v>
      </c>
      <c r="M345" s="7">
        <v>5</v>
      </c>
      <c r="N345" s="8">
        <f t="shared" si="180"/>
        <v>0.6466120481244708</v>
      </c>
      <c r="O345" s="8">
        <f t="shared" si="174"/>
        <v>64.69320464071706</v>
      </c>
      <c r="P345" s="8">
        <f t="shared" si="181"/>
        <v>19.53734780149655</v>
      </c>
      <c r="Q345" s="58">
        <f t="shared" si="177"/>
        <v>65.9870687335314</v>
      </c>
      <c r="R345" s="78">
        <f>7.38*2+1.42+10.5+1.11+1.15*2+1.99*2+6.6</f>
        <v>40.67</v>
      </c>
      <c r="S345" s="79">
        <v>40.67</v>
      </c>
      <c r="T345" s="21">
        <f t="shared" si="178"/>
        <v>48.804</v>
      </c>
      <c r="U345" s="9">
        <f t="shared" si="153"/>
        <v>199.66823322386946</v>
      </c>
      <c r="V345" s="8">
        <f t="shared" si="168"/>
        <v>49.917058305967366</v>
      </c>
      <c r="W345" s="52">
        <f t="shared" si="175"/>
        <v>249.58529152983684</v>
      </c>
      <c r="X345" s="22">
        <v>249.58529152983684</v>
      </c>
      <c r="Y345" s="7"/>
      <c r="Z345" s="20">
        <v>204</v>
      </c>
      <c r="AA345" s="4">
        <v>194</v>
      </c>
      <c r="AB345" s="4">
        <v>220</v>
      </c>
      <c r="AC345" s="14">
        <f t="shared" si="163"/>
        <v>28.652212128781883</v>
      </c>
      <c r="AD345" s="56">
        <v>216.44432772983686</v>
      </c>
      <c r="AE345" s="17">
        <f t="shared" si="176"/>
        <v>1.1531154183969474</v>
      </c>
    </row>
    <row r="346" spans="1:31" ht="15">
      <c r="A346" s="43" t="s">
        <v>773</v>
      </c>
      <c r="B346" s="31" t="s">
        <v>290</v>
      </c>
      <c r="C346" s="7">
        <v>572624</v>
      </c>
      <c r="D346" s="7">
        <v>1800</v>
      </c>
      <c r="E346" s="7">
        <v>8</v>
      </c>
      <c r="F346" s="8">
        <f t="shared" si="182"/>
        <v>42.41659259259259</v>
      </c>
      <c r="G346" s="37">
        <v>389340</v>
      </c>
      <c r="H346" s="7">
        <v>1800</v>
      </c>
      <c r="I346" s="7">
        <v>5</v>
      </c>
      <c r="J346" s="8">
        <f t="shared" si="173"/>
        <v>18.025</v>
      </c>
      <c r="K346" s="7">
        <f>'[2]Лист1'!$O$1004</f>
        <v>18500</v>
      </c>
      <c r="L346" s="7">
        <v>846721</v>
      </c>
      <c r="M346" s="7">
        <v>5</v>
      </c>
      <c r="N346" s="8">
        <f t="shared" si="180"/>
        <v>0.10924495790230784</v>
      </c>
      <c r="O346" s="8">
        <f t="shared" si="174"/>
        <v>60.5508375504949</v>
      </c>
      <c r="P346" s="8">
        <f t="shared" si="181"/>
        <v>18.286352940249458</v>
      </c>
      <c r="Q346" s="58">
        <f t="shared" si="177"/>
        <v>61.7618543015048</v>
      </c>
      <c r="R346" s="78">
        <f>7.38*2+0.675+0.45+1+1.15*3+0.83*2+1.11+1.7</f>
        <v>24.804999999999996</v>
      </c>
      <c r="S346" s="79">
        <v>24.804999999999996</v>
      </c>
      <c r="T346" s="21">
        <f t="shared" si="178"/>
        <v>29.765999999999995</v>
      </c>
      <c r="U346" s="9">
        <f t="shared" si="153"/>
        <v>170.47428975015146</v>
      </c>
      <c r="V346" s="8">
        <f t="shared" si="168"/>
        <v>42.618572437537864</v>
      </c>
      <c r="W346" s="52">
        <f t="shared" si="175"/>
        <v>213.09286218768932</v>
      </c>
      <c r="X346" s="22">
        <v>213.09286218768932</v>
      </c>
      <c r="Y346" s="7"/>
      <c r="Z346" s="20">
        <v>157</v>
      </c>
      <c r="AA346" s="4">
        <v>154</v>
      </c>
      <c r="AB346" s="4">
        <v>154</v>
      </c>
      <c r="AC346" s="14">
        <f t="shared" si="163"/>
        <v>38.371988433564496</v>
      </c>
      <c r="AD346" s="56">
        <v>180.40625668768936</v>
      </c>
      <c r="AE346" s="17">
        <f t="shared" si="176"/>
        <v>1.1811833253465562</v>
      </c>
    </row>
    <row r="347" spans="1:31" ht="15">
      <c r="A347" s="43" t="s">
        <v>774</v>
      </c>
      <c r="B347" s="31" t="s">
        <v>26</v>
      </c>
      <c r="C347" s="7">
        <v>572624</v>
      </c>
      <c r="D347" s="7">
        <v>1800</v>
      </c>
      <c r="E347" s="7">
        <v>7</v>
      </c>
      <c r="F347" s="8">
        <f t="shared" si="182"/>
        <v>37.11451851851852</v>
      </c>
      <c r="G347" s="37">
        <v>389340</v>
      </c>
      <c r="H347" s="7">
        <v>1800</v>
      </c>
      <c r="I347" s="7">
        <v>4</v>
      </c>
      <c r="J347" s="8">
        <f t="shared" si="173"/>
        <v>14.42</v>
      </c>
      <c r="K347" s="7">
        <f>'[2]Лист1'!$O$1000+'[2]Лист1'!$O$1053</f>
        <v>31000</v>
      </c>
      <c r="L347" s="7">
        <v>846721</v>
      </c>
      <c r="M347" s="7">
        <v>6</v>
      </c>
      <c r="N347" s="8">
        <f t="shared" si="180"/>
        <v>0.2196709423765325</v>
      </c>
      <c r="O347" s="8">
        <f t="shared" si="174"/>
        <v>51.754189460895056</v>
      </c>
      <c r="P347" s="8">
        <f t="shared" si="181"/>
        <v>15.629765217190306</v>
      </c>
      <c r="Q347" s="58">
        <f t="shared" si="177"/>
        <v>52.789273250112956</v>
      </c>
      <c r="R347" s="78">
        <f>7.38+0.37+1.11+0.83+12.27+1.99</f>
        <v>23.95</v>
      </c>
      <c r="S347" s="79">
        <v>23.95</v>
      </c>
      <c r="T347" s="21">
        <f t="shared" si="178"/>
        <v>28.74</v>
      </c>
      <c r="U347" s="9">
        <f t="shared" si="153"/>
        <v>149.13289887057485</v>
      </c>
      <c r="V347" s="8">
        <f t="shared" si="168"/>
        <v>37.28322471764371</v>
      </c>
      <c r="W347" s="52">
        <f t="shared" si="175"/>
        <v>186.41612358821857</v>
      </c>
      <c r="X347" s="22">
        <v>186.41612358821857</v>
      </c>
      <c r="Y347" s="7"/>
      <c r="Z347" s="20">
        <v>152</v>
      </c>
      <c r="AA347" s="4">
        <v>152</v>
      </c>
      <c r="AB347" s="4">
        <v>152</v>
      </c>
      <c r="AC347" s="14">
        <f t="shared" si="163"/>
        <v>22.642186571196433</v>
      </c>
      <c r="AD347" s="56">
        <v>161.60833198821854</v>
      </c>
      <c r="AE347" s="17">
        <f t="shared" si="176"/>
        <v>1.1535056472324</v>
      </c>
    </row>
    <row r="348" spans="1:31" ht="15">
      <c r="A348" s="43" t="s">
        <v>775</v>
      </c>
      <c r="B348" s="31" t="s">
        <v>27</v>
      </c>
      <c r="C348" s="7">
        <v>572624</v>
      </c>
      <c r="D348" s="7">
        <v>1800</v>
      </c>
      <c r="E348" s="7">
        <v>8</v>
      </c>
      <c r="F348" s="8">
        <f t="shared" si="182"/>
        <v>42.41659259259259</v>
      </c>
      <c r="G348" s="37">
        <v>389340</v>
      </c>
      <c r="H348" s="7">
        <v>1800</v>
      </c>
      <c r="I348" s="7">
        <v>4</v>
      </c>
      <c r="J348" s="8">
        <f t="shared" si="173"/>
        <v>14.42</v>
      </c>
      <c r="K348" s="7">
        <f>'[2]Лист1'!$O$983</f>
        <v>17500</v>
      </c>
      <c r="L348" s="7">
        <v>846721</v>
      </c>
      <c r="M348" s="7">
        <v>8</v>
      </c>
      <c r="N348" s="8">
        <f t="shared" si="180"/>
        <v>0.16534372006835782</v>
      </c>
      <c r="O348" s="8">
        <f t="shared" si="174"/>
        <v>57.00193631266095</v>
      </c>
      <c r="P348" s="8">
        <f t="shared" si="181"/>
        <v>17.214584766423606</v>
      </c>
      <c r="Q348" s="58">
        <f t="shared" si="177"/>
        <v>58.141975038914175</v>
      </c>
      <c r="R348" s="78">
        <f>7.38+0.83*5+1.15*3+1.99*2+1.11+1.7+1.42+12.05*0.025+1.39*4+2.53*4+16.4*0.1+16.9*0.1+11*0.1+0.66*6</f>
        <v>47.561249999999994</v>
      </c>
      <c r="S348" s="79">
        <v>47.561249999999994</v>
      </c>
      <c r="T348" s="21">
        <f t="shared" si="178"/>
        <v>57.07349999999999</v>
      </c>
      <c r="U348" s="9">
        <f t="shared" si="153"/>
        <v>189.5973398380671</v>
      </c>
      <c r="V348" s="8">
        <f t="shared" si="168"/>
        <v>47.39933495951677</v>
      </c>
      <c r="W348" s="52">
        <f t="shared" si="175"/>
        <v>236.99667479758386</v>
      </c>
      <c r="X348" s="22">
        <v>236.99667479758386</v>
      </c>
      <c r="Y348" s="7"/>
      <c r="Z348" s="20">
        <v>198</v>
      </c>
      <c r="AA348" s="4">
        <v>188</v>
      </c>
      <c r="AB348" s="4">
        <v>188</v>
      </c>
      <c r="AC348" s="14">
        <f t="shared" si="163"/>
        <v>26.062061062544615</v>
      </c>
      <c r="AD348" s="56">
        <v>205.92528349758385</v>
      </c>
      <c r="AE348" s="17">
        <f t="shared" si="176"/>
        <v>1.1508867234380404</v>
      </c>
    </row>
    <row r="349" spans="1:31" ht="15">
      <c r="A349" s="43" t="s">
        <v>776</v>
      </c>
      <c r="B349" s="31" t="s">
        <v>246</v>
      </c>
      <c r="C349" s="7">
        <v>572624</v>
      </c>
      <c r="D349" s="7">
        <v>1800</v>
      </c>
      <c r="E349" s="7">
        <v>3</v>
      </c>
      <c r="F349" s="8">
        <f t="shared" si="182"/>
        <v>15.906222222222222</v>
      </c>
      <c r="G349" s="37">
        <v>389340</v>
      </c>
      <c r="H349" s="7">
        <v>1800</v>
      </c>
      <c r="I349" s="7">
        <v>1</v>
      </c>
      <c r="J349" s="8">
        <f t="shared" si="173"/>
        <v>3.605</v>
      </c>
      <c r="K349" s="7">
        <f>18000+3488.75+2070354</f>
        <v>2091842.75</v>
      </c>
      <c r="L349" s="7">
        <v>846721</v>
      </c>
      <c r="M349" s="7">
        <v>3</v>
      </c>
      <c r="N349" s="8">
        <f t="shared" si="180"/>
        <v>7.411565616064796</v>
      </c>
      <c r="O349" s="8">
        <f t="shared" si="174"/>
        <v>26.922787838287018</v>
      </c>
      <c r="P349" s="8">
        <f t="shared" si="181"/>
        <v>8.13068192716268</v>
      </c>
      <c r="Q349" s="58">
        <f t="shared" si="177"/>
        <v>27.46124359505276</v>
      </c>
      <c r="R349" s="78">
        <f>7.38*2+13.2+0.83*5+9.66+0.9*5+1.11+6.6+1.15*3+1.99*2+1.7+1.15*3</f>
        <v>66.56</v>
      </c>
      <c r="S349" s="79">
        <v>66.56</v>
      </c>
      <c r="T349" s="21">
        <f t="shared" si="178"/>
        <v>79.872</v>
      </c>
      <c r="U349" s="9">
        <f t="shared" si="153"/>
        <v>149.79827897656725</v>
      </c>
      <c r="V349" s="8">
        <f t="shared" si="168"/>
        <v>37.44956974414181</v>
      </c>
      <c r="W349" s="52">
        <f t="shared" si="175"/>
        <v>187.24784872070904</v>
      </c>
      <c r="X349" s="22">
        <v>187.24784872070904</v>
      </c>
      <c r="Y349" s="7"/>
      <c r="Z349" s="20">
        <v>150</v>
      </c>
      <c r="AA349" s="4">
        <v>135</v>
      </c>
      <c r="AB349" s="4">
        <v>160</v>
      </c>
      <c r="AC349" s="14">
        <f t="shared" si="163"/>
        <v>38.702110163488186</v>
      </c>
      <c r="AD349" s="56">
        <v>161.90505420971988</v>
      </c>
      <c r="AE349" s="17">
        <f t="shared" si="176"/>
        <v>1.156528742321793</v>
      </c>
    </row>
    <row r="350" spans="1:31" ht="15">
      <c r="A350" s="43" t="s">
        <v>777</v>
      </c>
      <c r="B350" s="31" t="s">
        <v>247</v>
      </c>
      <c r="C350" s="7">
        <v>572624</v>
      </c>
      <c r="D350" s="7">
        <v>1800</v>
      </c>
      <c r="E350" s="7">
        <v>2</v>
      </c>
      <c r="F350" s="8">
        <f aca="true" t="shared" si="183" ref="F350:F414">C350/D350/60*E350</f>
        <v>10.604148148148148</v>
      </c>
      <c r="G350" s="37">
        <v>389340</v>
      </c>
      <c r="H350" s="7">
        <v>1800</v>
      </c>
      <c r="I350" s="7">
        <v>2</v>
      </c>
      <c r="J350" s="8">
        <f aca="true" t="shared" si="184" ref="J350:J414">G350/H350/60*I350</f>
        <v>7.21</v>
      </c>
      <c r="K350" s="7">
        <f>'[2]Лист1'!$O$1053+'[2]Лист1'!$O$2244</f>
        <v>2018070</v>
      </c>
      <c r="L350" s="7">
        <v>846721</v>
      </c>
      <c r="M350" s="7">
        <v>2</v>
      </c>
      <c r="N350" s="8">
        <f t="shared" si="180"/>
        <v>4.766788587976441</v>
      </c>
      <c r="O350" s="8">
        <f t="shared" si="174"/>
        <v>22.580936736124592</v>
      </c>
      <c r="P350" s="8">
        <f t="shared" si="181"/>
        <v>6.819442894309627</v>
      </c>
      <c r="Q350" s="58">
        <f t="shared" si="177"/>
        <v>23.032555470847083</v>
      </c>
      <c r="R350" s="78">
        <f>7.38*2+13.2+0.83*5+9.66+0.9*5+1.11+6.6+1.15*3+1.99*2+1.7+1.15*3</f>
        <v>66.56</v>
      </c>
      <c r="S350" s="79">
        <v>66.56</v>
      </c>
      <c r="T350" s="21">
        <f t="shared" si="178"/>
        <v>79.872</v>
      </c>
      <c r="U350" s="9">
        <f t="shared" si="153"/>
        <v>137.07172368925774</v>
      </c>
      <c r="V350" s="8">
        <f aca="true" t="shared" si="185" ref="V350:V414">U350*25%</f>
        <v>34.267930922314434</v>
      </c>
      <c r="W350" s="52">
        <f t="shared" si="175"/>
        <v>171.33965461157217</v>
      </c>
      <c r="X350" s="22">
        <v>171.33965461157217</v>
      </c>
      <c r="Y350" s="7"/>
      <c r="Z350" s="20">
        <v>134</v>
      </c>
      <c r="AA350" s="4">
        <v>135</v>
      </c>
      <c r="AB350" s="4">
        <v>135</v>
      </c>
      <c r="AC350" s="14">
        <f t="shared" si="163"/>
        <v>26.91826267523865</v>
      </c>
      <c r="AD350" s="56">
        <v>143.7245324115722</v>
      </c>
      <c r="AE350" s="17">
        <f t="shared" si="176"/>
        <v>1.192139238421182</v>
      </c>
    </row>
    <row r="351" spans="1:31" ht="15">
      <c r="A351" s="43" t="s">
        <v>778</v>
      </c>
      <c r="B351" s="31" t="s">
        <v>380</v>
      </c>
      <c r="C351" s="7">
        <v>572624</v>
      </c>
      <c r="D351" s="7">
        <v>1800</v>
      </c>
      <c r="E351" s="7">
        <v>3</v>
      </c>
      <c r="F351" s="8">
        <f t="shared" si="183"/>
        <v>15.906222222222222</v>
      </c>
      <c r="G351" s="37">
        <v>389340</v>
      </c>
      <c r="H351" s="7">
        <v>1800</v>
      </c>
      <c r="I351" s="7">
        <v>3</v>
      </c>
      <c r="J351" s="8">
        <f t="shared" si="184"/>
        <v>10.815</v>
      </c>
      <c r="K351" s="7">
        <f>18000+3488.75+2070354</f>
        <v>2091842.75</v>
      </c>
      <c r="L351" s="7">
        <v>846721</v>
      </c>
      <c r="M351" s="7">
        <v>3</v>
      </c>
      <c r="N351" s="8">
        <f t="shared" si="180"/>
        <v>7.411565616064796</v>
      </c>
      <c r="O351" s="8">
        <f t="shared" si="174"/>
        <v>34.13278783828702</v>
      </c>
      <c r="P351" s="8">
        <f t="shared" si="181"/>
        <v>10.30810192716268</v>
      </c>
      <c r="Q351" s="58">
        <f t="shared" si="177"/>
        <v>34.81544359505276</v>
      </c>
      <c r="R351" s="78">
        <f>7.38*2+13.2+0.83*5+9.66+0.9*5+1.11+6.6+1.15*3+1.99*2+1.7+1.15*3</f>
        <v>66.56</v>
      </c>
      <c r="S351" s="79">
        <v>66.56</v>
      </c>
      <c r="T351" s="21">
        <f t="shared" si="178"/>
        <v>79.872</v>
      </c>
      <c r="U351" s="9">
        <f aca="true" t="shared" si="186" ref="U351:U457">N351+O351+P351+Q351+T351</f>
        <v>166.53989897656726</v>
      </c>
      <c r="V351" s="8">
        <f t="shared" si="185"/>
        <v>41.634974744141815</v>
      </c>
      <c r="W351" s="52">
        <f t="shared" si="175"/>
        <v>208.17487372070906</v>
      </c>
      <c r="X351" s="22">
        <v>208.17487372070906</v>
      </c>
      <c r="Y351" s="7"/>
      <c r="Z351" s="20">
        <v>169</v>
      </c>
      <c r="AA351" s="4">
        <v>165</v>
      </c>
      <c r="AB351" s="4">
        <v>165</v>
      </c>
      <c r="AC351" s="14">
        <f t="shared" si="163"/>
        <v>26.16659013376308</v>
      </c>
      <c r="AD351" s="56">
        <v>179.03969420971987</v>
      </c>
      <c r="AE351" s="17">
        <f t="shared" si="176"/>
        <v>1.162730279671174</v>
      </c>
    </row>
    <row r="352" spans="1:31" ht="15">
      <c r="A352" s="43" t="s">
        <v>779</v>
      </c>
      <c r="B352" s="31" t="s">
        <v>381</v>
      </c>
      <c r="C352" s="7">
        <v>572624</v>
      </c>
      <c r="D352" s="7">
        <v>1800</v>
      </c>
      <c r="E352" s="7">
        <v>3</v>
      </c>
      <c r="F352" s="8">
        <f>C352/D352/60*E352</f>
        <v>15.906222222222222</v>
      </c>
      <c r="G352" s="37">
        <v>389340</v>
      </c>
      <c r="H352" s="7">
        <v>1800</v>
      </c>
      <c r="I352" s="7">
        <v>3</v>
      </c>
      <c r="J352" s="8">
        <f>G352/H352/60*I352</f>
        <v>10.815</v>
      </c>
      <c r="K352" s="7">
        <f>18000+3488.75+2070354</f>
        <v>2091842.75</v>
      </c>
      <c r="L352" s="7">
        <v>846721</v>
      </c>
      <c r="M352" s="7">
        <v>3</v>
      </c>
      <c r="N352" s="8">
        <f>K352/L352*M352</f>
        <v>7.411565616064796</v>
      </c>
      <c r="O352" s="8">
        <f>F352+J352+N352</f>
        <v>34.13278783828702</v>
      </c>
      <c r="P352" s="8">
        <f>O352*0.302</f>
        <v>10.30810192716268</v>
      </c>
      <c r="Q352" s="58">
        <f t="shared" si="177"/>
        <v>34.81544359505276</v>
      </c>
      <c r="R352" s="78">
        <f>7.38*2+13.2+0.83*5+9.66+0.9*5+1.11+6.6+1.15*3+1.99*2+1.7+1.15*3</f>
        <v>66.56</v>
      </c>
      <c r="S352" s="79">
        <v>66.56</v>
      </c>
      <c r="T352" s="21">
        <f t="shared" si="178"/>
        <v>79.872</v>
      </c>
      <c r="U352" s="9">
        <f t="shared" si="186"/>
        <v>166.53989897656726</v>
      </c>
      <c r="V352" s="8">
        <f>U352*25%</f>
        <v>41.634974744141815</v>
      </c>
      <c r="W352" s="52">
        <f>U352+V352</f>
        <v>208.17487372070906</v>
      </c>
      <c r="X352" s="22">
        <v>208.17487372070906</v>
      </c>
      <c r="Y352" s="7"/>
      <c r="Z352" s="20">
        <v>169</v>
      </c>
      <c r="AA352" s="4">
        <v>165</v>
      </c>
      <c r="AB352" s="4">
        <v>165</v>
      </c>
      <c r="AC352" s="14">
        <f>(100*W352)/AA352-100</f>
        <v>26.16659013376308</v>
      </c>
      <c r="AD352" s="56">
        <v>179.03969420971987</v>
      </c>
      <c r="AE352" s="17">
        <f t="shared" si="176"/>
        <v>1.162730279671174</v>
      </c>
    </row>
    <row r="353" spans="1:31" ht="15">
      <c r="A353" s="43" t="s">
        <v>780</v>
      </c>
      <c r="B353" s="31" t="s">
        <v>248</v>
      </c>
      <c r="C353" s="7">
        <v>572624</v>
      </c>
      <c r="D353" s="7">
        <v>1800</v>
      </c>
      <c r="E353" s="7">
        <v>5</v>
      </c>
      <c r="F353" s="8">
        <f t="shared" si="183"/>
        <v>26.51037037037037</v>
      </c>
      <c r="G353" s="37">
        <v>389340</v>
      </c>
      <c r="H353" s="7">
        <v>1800</v>
      </c>
      <c r="I353" s="7">
        <v>1</v>
      </c>
      <c r="J353" s="8">
        <f t="shared" si="184"/>
        <v>3.605</v>
      </c>
      <c r="K353" s="7">
        <f>18000+3488.75+2070354</f>
        <v>2091842.75</v>
      </c>
      <c r="L353" s="7">
        <v>846721</v>
      </c>
      <c r="M353" s="7">
        <v>3</v>
      </c>
      <c r="N353" s="8">
        <f t="shared" si="180"/>
        <v>7.411565616064796</v>
      </c>
      <c r="O353" s="8">
        <f t="shared" si="174"/>
        <v>37.52693598643517</v>
      </c>
      <c r="P353" s="8">
        <f t="shared" si="181"/>
        <v>11.33313466790342</v>
      </c>
      <c r="Q353" s="58">
        <f t="shared" si="177"/>
        <v>38.27747470616387</v>
      </c>
      <c r="R353" s="78">
        <f>7.38*2+13.2+0.83*6+9.66+0.9*5+1.11+6.6+1.15*3+1.99*2+1.7+1.15*3</f>
        <v>67.39</v>
      </c>
      <c r="S353" s="79">
        <v>67.39</v>
      </c>
      <c r="T353" s="21">
        <f t="shared" si="178"/>
        <v>80.868</v>
      </c>
      <c r="U353" s="9">
        <f t="shared" si="186"/>
        <v>175.41711097656724</v>
      </c>
      <c r="V353" s="8">
        <f t="shared" si="185"/>
        <v>43.85427774414181</v>
      </c>
      <c r="W353" s="52">
        <f t="shared" si="175"/>
        <v>219.27138872070907</v>
      </c>
      <c r="X353" s="22">
        <v>219.27138872070907</v>
      </c>
      <c r="Y353" s="7"/>
      <c r="Z353" s="20">
        <v>179</v>
      </c>
      <c r="AA353" s="4">
        <v>175</v>
      </c>
      <c r="AB353" s="4">
        <v>175</v>
      </c>
      <c r="AC353" s="14">
        <f t="shared" si="163"/>
        <v>25.29793641183376</v>
      </c>
      <c r="AD353" s="56">
        <v>187.59143560971984</v>
      </c>
      <c r="AE353" s="17">
        <f t="shared" si="176"/>
        <v>1.1688773957511511</v>
      </c>
    </row>
    <row r="354" spans="1:31" ht="15">
      <c r="A354" s="43" t="s">
        <v>781</v>
      </c>
      <c r="B354" s="31" t="s">
        <v>249</v>
      </c>
      <c r="C354" s="7">
        <v>572624</v>
      </c>
      <c r="D354" s="7">
        <v>1800</v>
      </c>
      <c r="E354" s="7">
        <v>3</v>
      </c>
      <c r="F354" s="8">
        <f t="shared" si="183"/>
        <v>15.906222222222222</v>
      </c>
      <c r="G354" s="37">
        <v>389340</v>
      </c>
      <c r="H354" s="7">
        <v>1800</v>
      </c>
      <c r="I354" s="7">
        <v>4</v>
      </c>
      <c r="J354" s="8">
        <f t="shared" si="184"/>
        <v>14.42</v>
      </c>
      <c r="K354" s="7">
        <f>18000+3488.75+2070354</f>
        <v>2091842.75</v>
      </c>
      <c r="L354" s="7">
        <v>846721</v>
      </c>
      <c r="M354" s="7">
        <v>5</v>
      </c>
      <c r="N354" s="8">
        <f t="shared" si="180"/>
        <v>12.352609360107994</v>
      </c>
      <c r="O354" s="8">
        <f t="shared" si="174"/>
        <v>42.67883158233022</v>
      </c>
      <c r="P354" s="8">
        <f t="shared" si="181"/>
        <v>12.889007137863725</v>
      </c>
      <c r="Q354" s="58">
        <f t="shared" si="177"/>
        <v>43.53240821397682</v>
      </c>
      <c r="R354" s="78">
        <f>7.38*2+13.2+0.83*5+9.66+0.9+1.11+0.66*3+1.15*3+0.83*2+1.7</f>
        <v>52.56999999999999</v>
      </c>
      <c r="S354" s="79">
        <v>52.56999999999999</v>
      </c>
      <c r="T354" s="21">
        <f t="shared" si="178"/>
        <v>63.08399999999999</v>
      </c>
      <c r="U354" s="9">
        <f t="shared" si="186"/>
        <v>174.53685629427875</v>
      </c>
      <c r="V354" s="8">
        <f t="shared" si="185"/>
        <v>43.63421407356969</v>
      </c>
      <c r="W354" s="52">
        <f t="shared" si="175"/>
        <v>218.17107036784844</v>
      </c>
      <c r="X354" s="22">
        <v>217</v>
      </c>
      <c r="Y354" s="7"/>
      <c r="Z354" s="20">
        <v>183</v>
      </c>
      <c r="AA354" s="4">
        <v>150</v>
      </c>
      <c r="AB354" s="4">
        <v>190</v>
      </c>
      <c r="AC354" s="14">
        <f t="shared" si="163"/>
        <v>45.447380245232296</v>
      </c>
      <c r="AD354" s="56">
        <v>188.50228718597697</v>
      </c>
      <c r="AE354" s="17">
        <f t="shared" si="176"/>
        <v>1.1573921654998285</v>
      </c>
    </row>
    <row r="355" spans="1:31" ht="15">
      <c r="A355" s="43" t="s">
        <v>782</v>
      </c>
      <c r="B355" s="31" t="s">
        <v>250</v>
      </c>
      <c r="C355" s="7">
        <v>572624</v>
      </c>
      <c r="D355" s="7">
        <v>1800</v>
      </c>
      <c r="E355" s="7">
        <v>3</v>
      </c>
      <c r="F355" s="8">
        <f t="shared" si="183"/>
        <v>15.906222222222222</v>
      </c>
      <c r="G355" s="37">
        <v>389340</v>
      </c>
      <c r="H355" s="7">
        <v>1800</v>
      </c>
      <c r="I355" s="7">
        <v>1</v>
      </c>
      <c r="J355" s="8">
        <f t="shared" si="184"/>
        <v>3.605</v>
      </c>
      <c r="K355" s="7">
        <f>18000+3488.75+2070354</f>
        <v>2091842.75</v>
      </c>
      <c r="L355" s="7">
        <v>846721</v>
      </c>
      <c r="M355" s="7">
        <v>3</v>
      </c>
      <c r="N355" s="8">
        <f t="shared" si="180"/>
        <v>7.411565616064796</v>
      </c>
      <c r="O355" s="8">
        <f t="shared" si="174"/>
        <v>26.922787838287018</v>
      </c>
      <c r="P355" s="8">
        <f t="shared" si="181"/>
        <v>8.13068192716268</v>
      </c>
      <c r="Q355" s="58">
        <f t="shared" si="177"/>
        <v>27.46124359505276</v>
      </c>
      <c r="R355" s="78">
        <f>7.38*2+13.2+0.83*5+9.66+0.9*11+1.11+6.6+1.15*3+1.99*2+1.7+1.15*3</f>
        <v>71.96000000000001</v>
      </c>
      <c r="S355" s="79">
        <v>71.96000000000001</v>
      </c>
      <c r="T355" s="21">
        <f t="shared" si="178"/>
        <v>86.352</v>
      </c>
      <c r="U355" s="9">
        <f t="shared" si="186"/>
        <v>156.27827897656726</v>
      </c>
      <c r="V355" s="8">
        <f t="shared" si="185"/>
        <v>39.069569744141816</v>
      </c>
      <c r="W355" s="52">
        <f t="shared" si="175"/>
        <v>195.34784872070907</v>
      </c>
      <c r="X355" s="22">
        <v>195.34784872070907</v>
      </c>
      <c r="Y355" s="7"/>
      <c r="Z355" s="20">
        <v>156</v>
      </c>
      <c r="AA355" s="4">
        <v>152</v>
      </c>
      <c r="AB355" s="4">
        <v>152</v>
      </c>
      <c r="AC355" s="14">
        <f t="shared" si="163"/>
        <v>28.5183215267823</v>
      </c>
      <c r="AD355" s="56">
        <v>168.65505420971985</v>
      </c>
      <c r="AE355" s="17">
        <f t="shared" si="176"/>
        <v>1.1582685715294199</v>
      </c>
    </row>
    <row r="356" spans="1:31" ht="15">
      <c r="A356" s="43" t="s">
        <v>783</v>
      </c>
      <c r="B356" s="31" t="s">
        <v>265</v>
      </c>
      <c r="C356" s="7">
        <v>572624</v>
      </c>
      <c r="D356" s="7">
        <v>1800</v>
      </c>
      <c r="E356" s="7">
        <v>5</v>
      </c>
      <c r="F356" s="8">
        <f t="shared" si="183"/>
        <v>26.51037037037037</v>
      </c>
      <c r="G356" s="37">
        <v>389340</v>
      </c>
      <c r="H356" s="7">
        <v>1800</v>
      </c>
      <c r="I356" s="7">
        <v>3</v>
      </c>
      <c r="J356" s="8">
        <f t="shared" si="184"/>
        <v>10.815</v>
      </c>
      <c r="K356" s="7">
        <f>'[2]Лист1'!$O$1053</f>
        <v>18000</v>
      </c>
      <c r="L356" s="7">
        <v>846721</v>
      </c>
      <c r="M356" s="7">
        <v>5</v>
      </c>
      <c r="N356" s="8">
        <f t="shared" si="180"/>
        <v>0.10629239147251573</v>
      </c>
      <c r="O356" s="8">
        <f t="shared" si="174"/>
        <v>37.43166276184289</v>
      </c>
      <c r="P356" s="8">
        <f t="shared" si="181"/>
        <v>11.304362154076552</v>
      </c>
      <c r="Q356" s="58">
        <f t="shared" si="177"/>
        <v>38.18029601707975</v>
      </c>
      <c r="R356" s="78">
        <f>7.38*2+13.2+0.83*5+9.66+1.11+0.66*3+1.15*3+1.99*2+1.7</f>
        <v>53.989999999999995</v>
      </c>
      <c r="S356" s="79">
        <v>53.989999999999995</v>
      </c>
      <c r="T356" s="21">
        <f t="shared" si="178"/>
        <v>64.788</v>
      </c>
      <c r="U356" s="9">
        <f t="shared" si="186"/>
        <v>151.81061332447172</v>
      </c>
      <c r="V356" s="8">
        <f t="shared" si="185"/>
        <v>37.95265333111793</v>
      </c>
      <c r="W356" s="52">
        <f t="shared" si="175"/>
        <v>189.76326665558963</v>
      </c>
      <c r="X356" s="22">
        <v>189.76326665558963</v>
      </c>
      <c r="Y356" s="7"/>
      <c r="Z356" s="20">
        <v>156</v>
      </c>
      <c r="AA356" s="4">
        <v>152</v>
      </c>
      <c r="AB356" s="4">
        <v>152</v>
      </c>
      <c r="AC356" s="14">
        <f t="shared" si="163"/>
        <v>24.844254378677377</v>
      </c>
      <c r="AD356" s="56">
        <v>164.41824755558963</v>
      </c>
      <c r="AE356" s="17">
        <f t="shared" si="176"/>
        <v>1.1541496730247711</v>
      </c>
    </row>
    <row r="357" spans="1:31" ht="15">
      <c r="A357" s="43" t="s">
        <v>784</v>
      </c>
      <c r="B357" s="31" t="s">
        <v>251</v>
      </c>
      <c r="C357" s="7">
        <v>572624</v>
      </c>
      <c r="D357" s="7">
        <v>1800</v>
      </c>
      <c r="E357" s="7">
        <v>5</v>
      </c>
      <c r="F357" s="8">
        <f t="shared" si="183"/>
        <v>26.51037037037037</v>
      </c>
      <c r="G357" s="37">
        <v>389340</v>
      </c>
      <c r="H357" s="7">
        <v>1800</v>
      </c>
      <c r="I357" s="7">
        <v>4</v>
      </c>
      <c r="J357" s="8">
        <f t="shared" si="184"/>
        <v>14.42</v>
      </c>
      <c r="K357" s="7">
        <f>'[2]Лист1'!$O$1053</f>
        <v>18000</v>
      </c>
      <c r="L357" s="7">
        <v>846721</v>
      </c>
      <c r="M357" s="7">
        <v>5</v>
      </c>
      <c r="N357" s="8">
        <f t="shared" si="180"/>
        <v>0.10629239147251573</v>
      </c>
      <c r="O357" s="8">
        <f t="shared" si="174"/>
        <v>41.036662761842884</v>
      </c>
      <c r="P357" s="8">
        <f t="shared" si="181"/>
        <v>12.39307215407655</v>
      </c>
      <c r="Q357" s="58">
        <f t="shared" si="177"/>
        <v>41.85739601707974</v>
      </c>
      <c r="R357" s="78">
        <f>7.38*2+13.2+0.83*5+9.66+1.11+0.66+1.15*3+0.83*2+1.7</f>
        <v>50.349999999999994</v>
      </c>
      <c r="S357" s="79">
        <v>50.349999999999994</v>
      </c>
      <c r="T357" s="21">
        <f t="shared" si="178"/>
        <v>60.41999999999999</v>
      </c>
      <c r="U357" s="9">
        <f t="shared" si="186"/>
        <v>155.81342332447167</v>
      </c>
      <c r="V357" s="8">
        <f t="shared" si="185"/>
        <v>38.95335583111792</v>
      </c>
      <c r="W357" s="52">
        <f t="shared" si="175"/>
        <v>194.76677915558957</v>
      </c>
      <c r="X357" s="22">
        <v>194.76677915558957</v>
      </c>
      <c r="Y357" s="7"/>
      <c r="Z357" s="20">
        <v>162</v>
      </c>
      <c r="AA357" s="4">
        <v>160</v>
      </c>
      <c r="AB357" s="4">
        <v>160</v>
      </c>
      <c r="AC357" s="14">
        <f t="shared" si="163"/>
        <v>21.729236972243484</v>
      </c>
      <c r="AD357" s="56">
        <v>169.4886461555896</v>
      </c>
      <c r="AE357" s="17">
        <f t="shared" si="176"/>
        <v>1.1491435183026644</v>
      </c>
    </row>
    <row r="358" spans="1:31" ht="15">
      <c r="A358" s="43" t="s">
        <v>785</v>
      </c>
      <c r="B358" s="31" t="s">
        <v>252</v>
      </c>
      <c r="C358" s="7">
        <v>572624</v>
      </c>
      <c r="D358" s="7">
        <v>1800</v>
      </c>
      <c r="E358" s="7">
        <v>3</v>
      </c>
      <c r="F358" s="8">
        <f t="shared" si="183"/>
        <v>15.906222222222222</v>
      </c>
      <c r="G358" s="37">
        <v>389340</v>
      </c>
      <c r="H358" s="7">
        <v>1800</v>
      </c>
      <c r="I358" s="7">
        <v>3</v>
      </c>
      <c r="J358" s="8">
        <f t="shared" si="184"/>
        <v>10.815</v>
      </c>
      <c r="K358" s="7">
        <f aca="true" t="shared" si="187" ref="K358:K364">18000+3488.75+2070354</f>
        <v>2091842.75</v>
      </c>
      <c r="L358" s="7">
        <v>846721</v>
      </c>
      <c r="M358" s="7">
        <v>3</v>
      </c>
      <c r="N358" s="8">
        <f t="shared" si="180"/>
        <v>7.411565616064796</v>
      </c>
      <c r="O358" s="8">
        <f t="shared" si="174"/>
        <v>34.13278783828702</v>
      </c>
      <c r="P358" s="8">
        <f t="shared" si="181"/>
        <v>10.30810192716268</v>
      </c>
      <c r="Q358" s="58">
        <f t="shared" si="177"/>
        <v>34.81544359505276</v>
      </c>
      <c r="R358" s="78">
        <f>7.38*2+13.2+0.83*5+9.66+0.9+1.11+0.66+6.6+1.15*3+0.83*2+1.7</f>
        <v>57.849999999999994</v>
      </c>
      <c r="S358" s="79">
        <v>57.849999999999994</v>
      </c>
      <c r="T358" s="21">
        <f>S358*1.2</f>
        <v>69.41999999999999</v>
      </c>
      <c r="U358" s="9">
        <f>N358+O358+P358+Q358+T358</f>
        <v>156.08789897656726</v>
      </c>
      <c r="V358" s="8">
        <f t="shared" si="185"/>
        <v>39.021974744141815</v>
      </c>
      <c r="W358" s="52">
        <f t="shared" si="175"/>
        <v>195.10987372070906</v>
      </c>
      <c r="X358" s="22">
        <v>194</v>
      </c>
      <c r="Y358" s="7"/>
      <c r="Z358" s="20">
        <v>154</v>
      </c>
      <c r="AA358" s="4">
        <v>150</v>
      </c>
      <c r="AB358" s="4">
        <v>150</v>
      </c>
      <c r="AC358" s="14">
        <f t="shared" si="163"/>
        <v>30.073249147139393</v>
      </c>
      <c r="AD358" s="56">
        <v>167.6295571515862</v>
      </c>
      <c r="AE358" s="17">
        <f t="shared" si="176"/>
        <v>1.1639347919070895</v>
      </c>
    </row>
    <row r="359" spans="1:31" ht="15">
      <c r="A359" s="43" t="s">
        <v>786</v>
      </c>
      <c r="B359" s="31" t="s">
        <v>253</v>
      </c>
      <c r="C359" s="7">
        <v>572624</v>
      </c>
      <c r="D359" s="7">
        <v>1800</v>
      </c>
      <c r="E359" s="7">
        <v>3</v>
      </c>
      <c r="F359" s="8">
        <f t="shared" si="183"/>
        <v>15.906222222222222</v>
      </c>
      <c r="G359" s="37">
        <v>389340</v>
      </c>
      <c r="H359" s="7">
        <v>1800</v>
      </c>
      <c r="I359" s="7">
        <v>1</v>
      </c>
      <c r="J359" s="8">
        <f t="shared" si="184"/>
        <v>3.605</v>
      </c>
      <c r="K359" s="7">
        <f t="shared" si="187"/>
        <v>2091842.75</v>
      </c>
      <c r="L359" s="7">
        <v>846721</v>
      </c>
      <c r="M359" s="7">
        <v>3</v>
      </c>
      <c r="N359" s="8">
        <f t="shared" si="180"/>
        <v>7.411565616064796</v>
      </c>
      <c r="O359" s="8">
        <f t="shared" si="174"/>
        <v>26.922787838287018</v>
      </c>
      <c r="P359" s="8">
        <f t="shared" si="181"/>
        <v>8.13068192716268</v>
      </c>
      <c r="Q359" s="58">
        <f t="shared" si="177"/>
        <v>27.46124359505276</v>
      </c>
      <c r="R359" s="78">
        <f>7.38*2+13.2+0.83*5+9.66+0.9*5+1.11+6.6+1.15*3+1.99*2+1.7+1.15*3</f>
        <v>66.56</v>
      </c>
      <c r="S359" s="79">
        <v>66.56</v>
      </c>
      <c r="T359" s="21">
        <f t="shared" si="178"/>
        <v>79.872</v>
      </c>
      <c r="U359" s="9">
        <f t="shared" si="186"/>
        <v>149.79827897656725</v>
      </c>
      <c r="V359" s="8">
        <f t="shared" si="185"/>
        <v>37.44956974414181</v>
      </c>
      <c r="W359" s="52">
        <f t="shared" si="175"/>
        <v>187.24784872070904</v>
      </c>
      <c r="X359" s="22">
        <v>186</v>
      </c>
      <c r="Y359" s="7"/>
      <c r="Z359" s="20">
        <v>151</v>
      </c>
      <c r="AA359" s="4">
        <v>257</v>
      </c>
      <c r="AB359" s="4">
        <v>150</v>
      </c>
      <c r="AC359" s="14">
        <f t="shared" si="163"/>
        <v>-27.14091489466574</v>
      </c>
      <c r="AD359" s="56">
        <v>161.38241715158617</v>
      </c>
      <c r="AE359" s="17">
        <f t="shared" si="176"/>
        <v>1.1602741613717902</v>
      </c>
    </row>
    <row r="360" spans="1:31" ht="15">
      <c r="A360" s="43" t="s">
        <v>787</v>
      </c>
      <c r="B360" s="31" t="s">
        <v>266</v>
      </c>
      <c r="C360" s="7">
        <v>572624</v>
      </c>
      <c r="D360" s="7">
        <v>1800</v>
      </c>
      <c r="E360" s="7">
        <v>3</v>
      </c>
      <c r="F360" s="8">
        <f t="shared" si="183"/>
        <v>15.906222222222222</v>
      </c>
      <c r="G360" s="37">
        <v>389340</v>
      </c>
      <c r="H360" s="7">
        <v>1800</v>
      </c>
      <c r="I360" s="7">
        <v>4</v>
      </c>
      <c r="J360" s="8">
        <f t="shared" si="184"/>
        <v>14.42</v>
      </c>
      <c r="K360" s="7">
        <f t="shared" si="187"/>
        <v>2091842.75</v>
      </c>
      <c r="L360" s="7">
        <v>846721</v>
      </c>
      <c r="M360" s="7">
        <v>4</v>
      </c>
      <c r="N360" s="8">
        <f t="shared" si="180"/>
        <v>9.882087488086395</v>
      </c>
      <c r="O360" s="8">
        <f t="shared" si="174"/>
        <v>40.20830971030861</v>
      </c>
      <c r="P360" s="8">
        <f t="shared" si="181"/>
        <v>12.142909532513201</v>
      </c>
      <c r="Q360" s="58">
        <f t="shared" si="177"/>
        <v>41.01247590451479</v>
      </c>
      <c r="R360" s="78">
        <f>7.38*2+13.2+0.83*5+9.66+0.9*7+1.11+1.15*3+0.83*2+1.7+2+1.99</f>
        <v>59.98</v>
      </c>
      <c r="S360" s="79">
        <v>59.98</v>
      </c>
      <c r="T360" s="21">
        <f t="shared" si="178"/>
        <v>71.976</v>
      </c>
      <c r="U360" s="9">
        <f t="shared" si="186"/>
        <v>175.22178263542298</v>
      </c>
      <c r="V360" s="8">
        <f t="shared" si="185"/>
        <v>43.805445658855746</v>
      </c>
      <c r="W360" s="52">
        <f t="shared" si="175"/>
        <v>219.02722829427873</v>
      </c>
      <c r="X360" s="22">
        <v>218</v>
      </c>
      <c r="Y360" s="7"/>
      <c r="Z360" s="20">
        <v>176</v>
      </c>
      <c r="AA360" s="4">
        <v>152</v>
      </c>
      <c r="AB360" s="4">
        <v>200</v>
      </c>
      <c r="AC360" s="14">
        <f t="shared" si="163"/>
        <v>44.096860719920215</v>
      </c>
      <c r="AD360" s="56">
        <v>187.7855428687816</v>
      </c>
      <c r="AE360" s="17">
        <f t="shared" si="176"/>
        <v>1.166368959762402</v>
      </c>
    </row>
    <row r="361" spans="1:31" ht="15">
      <c r="A361" s="43" t="s">
        <v>788</v>
      </c>
      <c r="B361" s="31" t="s">
        <v>920</v>
      </c>
      <c r="C361" s="7">
        <v>572624</v>
      </c>
      <c r="D361" s="7">
        <v>1800</v>
      </c>
      <c r="E361" s="7">
        <v>3</v>
      </c>
      <c r="F361" s="8">
        <f>C361/D361/60*E361</f>
        <v>15.906222222222222</v>
      </c>
      <c r="G361" s="37">
        <v>389340</v>
      </c>
      <c r="H361" s="7">
        <v>1800</v>
      </c>
      <c r="I361" s="7">
        <v>4</v>
      </c>
      <c r="J361" s="8">
        <f>G361/H361/60*I361</f>
        <v>14.42</v>
      </c>
      <c r="K361" s="7">
        <f t="shared" si="187"/>
        <v>2091842.75</v>
      </c>
      <c r="L361" s="7">
        <v>846721</v>
      </c>
      <c r="M361" s="7">
        <v>4</v>
      </c>
      <c r="N361" s="8">
        <f>K361/L361*M361</f>
        <v>9.882087488086395</v>
      </c>
      <c r="O361" s="8">
        <f>F361+J361+N361</f>
        <v>40.20830971030861</v>
      </c>
      <c r="P361" s="8">
        <f>O361*0.302</f>
        <v>12.142909532513201</v>
      </c>
      <c r="Q361" s="58">
        <f>(O361)*102%</f>
        <v>41.01247590451479</v>
      </c>
      <c r="R361" s="78">
        <f>7.38*2+13.2+0.83*5+9.66+0.9*7+1.11+37+1.15*3+0.83*2+1.7+2+1.99</f>
        <v>96.97999999999999</v>
      </c>
      <c r="S361" s="79">
        <v>96.98</v>
      </c>
      <c r="T361" s="21">
        <f>S361*1.2</f>
        <v>116.376</v>
      </c>
      <c r="U361" s="9">
        <f>N361+O361+P361+Q361+T361</f>
        <v>219.62178263542302</v>
      </c>
      <c r="V361" s="8">
        <f>U361*25%</f>
        <v>54.905445658855754</v>
      </c>
      <c r="W361" s="52">
        <f>U361+V361</f>
        <v>274.52722829427876</v>
      </c>
      <c r="X361" s="22">
        <v>274.52722829427876</v>
      </c>
      <c r="Y361" s="7"/>
      <c r="Z361" s="20">
        <v>176</v>
      </c>
      <c r="AA361" s="4">
        <v>152</v>
      </c>
      <c r="AB361" s="4">
        <v>200</v>
      </c>
      <c r="AC361" s="14">
        <f>(100*W361)/AA361-100</f>
        <v>80.61001861465706</v>
      </c>
      <c r="AD361" s="56">
        <v>187.7855428687816</v>
      </c>
      <c r="AE361" s="17">
        <f>W361/AD361</f>
        <v>1.4619188681958835</v>
      </c>
    </row>
    <row r="362" spans="1:31" ht="15">
      <c r="A362" s="43" t="s">
        <v>789</v>
      </c>
      <c r="B362" s="31" t="s">
        <v>254</v>
      </c>
      <c r="C362" s="7">
        <v>572624</v>
      </c>
      <c r="D362" s="7">
        <v>1800</v>
      </c>
      <c r="E362" s="7">
        <v>5</v>
      </c>
      <c r="F362" s="8">
        <f t="shared" si="183"/>
        <v>26.51037037037037</v>
      </c>
      <c r="G362" s="37">
        <v>389340</v>
      </c>
      <c r="H362" s="7">
        <v>1800</v>
      </c>
      <c r="I362" s="7">
        <v>4</v>
      </c>
      <c r="J362" s="8">
        <f t="shared" si="184"/>
        <v>14.42</v>
      </c>
      <c r="K362" s="7">
        <f t="shared" si="187"/>
        <v>2091842.75</v>
      </c>
      <c r="L362" s="7">
        <v>846721</v>
      </c>
      <c r="M362" s="7">
        <v>6</v>
      </c>
      <c r="N362" s="8">
        <f t="shared" si="180"/>
        <v>14.823131232129592</v>
      </c>
      <c r="O362" s="8">
        <f t="shared" si="174"/>
        <v>55.75350160249996</v>
      </c>
      <c r="P362" s="8">
        <f t="shared" si="181"/>
        <v>16.83755748395499</v>
      </c>
      <c r="Q362" s="58">
        <f t="shared" si="177"/>
        <v>56.86857163454996</v>
      </c>
      <c r="R362" s="78">
        <f>7.38*2+13.2+0.83*5+9.66+0.9*4+1.11+0.6+1.15*3+1.99*2+1.7+10</f>
        <v>66.21000000000001</v>
      </c>
      <c r="S362" s="79">
        <v>66.21000000000001</v>
      </c>
      <c r="T362" s="21">
        <f t="shared" si="178"/>
        <v>79.45200000000001</v>
      </c>
      <c r="U362" s="9">
        <f t="shared" si="186"/>
        <v>223.73476195313452</v>
      </c>
      <c r="V362" s="8">
        <f t="shared" si="185"/>
        <v>55.93369048828363</v>
      </c>
      <c r="W362" s="52">
        <f t="shared" si="175"/>
        <v>279.66845244141814</v>
      </c>
      <c r="X362" s="22">
        <v>279</v>
      </c>
      <c r="Y362" s="7"/>
      <c r="Z362" s="20">
        <v>228</v>
      </c>
      <c r="AA362" s="4">
        <v>227</v>
      </c>
      <c r="AB362" s="4">
        <v>227</v>
      </c>
      <c r="AC362" s="14">
        <f t="shared" si="163"/>
        <v>23.201961427937505</v>
      </c>
      <c r="AD362" s="56">
        <v>239.11952981943972</v>
      </c>
      <c r="AE362" s="17">
        <f t="shared" si="176"/>
        <v>1.1695759549736364</v>
      </c>
    </row>
    <row r="363" spans="1:31" ht="15">
      <c r="A363" s="43" t="s">
        <v>790</v>
      </c>
      <c r="B363" s="31" t="s">
        <v>268</v>
      </c>
      <c r="C363" s="7">
        <v>572624</v>
      </c>
      <c r="D363" s="7">
        <v>1800</v>
      </c>
      <c r="E363" s="7">
        <v>4</v>
      </c>
      <c r="F363" s="8">
        <f t="shared" si="183"/>
        <v>21.208296296296297</v>
      </c>
      <c r="G363" s="37">
        <v>389340</v>
      </c>
      <c r="H363" s="7">
        <v>1800</v>
      </c>
      <c r="I363" s="7">
        <v>6</v>
      </c>
      <c r="J363" s="8">
        <f t="shared" si="184"/>
        <v>21.63</v>
      </c>
      <c r="K363" s="7">
        <f t="shared" si="187"/>
        <v>2091842.75</v>
      </c>
      <c r="L363" s="7">
        <v>846721</v>
      </c>
      <c r="M363" s="7">
        <v>6</v>
      </c>
      <c r="N363" s="8">
        <f t="shared" si="180"/>
        <v>14.823131232129592</v>
      </c>
      <c r="O363" s="8">
        <f t="shared" si="174"/>
        <v>57.66142752842588</v>
      </c>
      <c r="P363" s="8">
        <f t="shared" si="181"/>
        <v>17.413751113584617</v>
      </c>
      <c r="Q363" s="58">
        <f t="shared" si="177"/>
        <v>58.8146560789944</v>
      </c>
      <c r="R363" s="78">
        <f>13.2+0.83*5+9.66+0.9*9+1.11+6.6+0.6*3+1.15*3+1.99*2+1.7+5</f>
        <v>58.75</v>
      </c>
      <c r="S363" s="79">
        <v>58.75</v>
      </c>
      <c r="T363" s="21">
        <f t="shared" si="178"/>
        <v>70.5</v>
      </c>
      <c r="U363" s="9">
        <f t="shared" si="186"/>
        <v>219.2129659531345</v>
      </c>
      <c r="V363" s="8">
        <f t="shared" si="185"/>
        <v>54.803241488283625</v>
      </c>
      <c r="W363" s="52">
        <f t="shared" si="175"/>
        <v>274.01620744141815</v>
      </c>
      <c r="X363" s="22">
        <v>272</v>
      </c>
      <c r="Y363" s="7"/>
      <c r="Z363" s="20">
        <v>228</v>
      </c>
      <c r="AA363" s="4">
        <v>227</v>
      </c>
      <c r="AB363" s="4">
        <v>227</v>
      </c>
      <c r="AC363" s="14">
        <f t="shared" si="163"/>
        <v>20.711985657012406</v>
      </c>
      <c r="AD363" s="56">
        <v>238.36965430317238</v>
      </c>
      <c r="AE363" s="17">
        <f t="shared" si="176"/>
        <v>1.1495431674910617</v>
      </c>
    </row>
    <row r="364" spans="1:31" ht="15">
      <c r="A364" s="43" t="s">
        <v>791</v>
      </c>
      <c r="B364" s="31" t="s">
        <v>267</v>
      </c>
      <c r="C364" s="7">
        <v>572624</v>
      </c>
      <c r="D364" s="7">
        <v>1800</v>
      </c>
      <c r="E364" s="7">
        <v>3</v>
      </c>
      <c r="F364" s="8">
        <f t="shared" si="183"/>
        <v>15.906222222222222</v>
      </c>
      <c r="G364" s="37">
        <v>389340</v>
      </c>
      <c r="H364" s="7">
        <v>1800</v>
      </c>
      <c r="I364" s="7">
        <v>3</v>
      </c>
      <c r="J364" s="8">
        <f t="shared" si="184"/>
        <v>10.815</v>
      </c>
      <c r="K364" s="7">
        <f t="shared" si="187"/>
        <v>2091842.75</v>
      </c>
      <c r="L364" s="7">
        <v>846721</v>
      </c>
      <c r="M364" s="7">
        <v>3</v>
      </c>
      <c r="N364" s="8">
        <f t="shared" si="180"/>
        <v>7.411565616064796</v>
      </c>
      <c r="O364" s="8">
        <f t="shared" si="174"/>
        <v>34.13278783828702</v>
      </c>
      <c r="P364" s="8">
        <f t="shared" si="181"/>
        <v>10.30810192716268</v>
      </c>
      <c r="Q364" s="58">
        <f t="shared" si="177"/>
        <v>34.81544359505276</v>
      </c>
      <c r="R364" s="78">
        <f>7.38*2+0.83*5+9.66+0.9*9+1.11+6.6+0.66*2+1.15*3+1.99*2+1.7+5</f>
        <v>59.830000000000005</v>
      </c>
      <c r="S364" s="79">
        <v>59.830000000000005</v>
      </c>
      <c r="T364" s="21">
        <f t="shared" si="178"/>
        <v>71.796</v>
      </c>
      <c r="U364" s="9">
        <f t="shared" si="186"/>
        <v>158.4638989765673</v>
      </c>
      <c r="V364" s="8">
        <f t="shared" si="185"/>
        <v>39.61597474414182</v>
      </c>
      <c r="W364" s="52">
        <f t="shared" si="175"/>
        <v>198.07987372070912</v>
      </c>
      <c r="X364" s="22">
        <v>197</v>
      </c>
      <c r="Y364" s="7"/>
      <c r="Z364" s="20">
        <v>158</v>
      </c>
      <c r="AA364" s="4">
        <v>152</v>
      </c>
      <c r="AB364" s="4">
        <v>152</v>
      </c>
      <c r="AC364" s="14">
        <f t="shared" si="163"/>
        <v>30.315706395203364</v>
      </c>
      <c r="AD364" s="56">
        <v>170.10455715158622</v>
      </c>
      <c r="AE364" s="17">
        <f t="shared" si="176"/>
        <v>1.1644595361674708</v>
      </c>
    </row>
    <row r="365" spans="1:31" ht="15">
      <c r="A365" s="43" t="s">
        <v>792</v>
      </c>
      <c r="B365" s="31" t="s">
        <v>255</v>
      </c>
      <c r="C365" s="7">
        <v>572624</v>
      </c>
      <c r="D365" s="7">
        <v>1800</v>
      </c>
      <c r="E365" s="7">
        <v>2</v>
      </c>
      <c r="F365" s="8">
        <f t="shared" si="183"/>
        <v>10.604148148148148</v>
      </c>
      <c r="G365" s="37">
        <v>389340</v>
      </c>
      <c r="H365" s="7">
        <v>1800</v>
      </c>
      <c r="I365" s="7">
        <v>1</v>
      </c>
      <c r="J365" s="8">
        <f t="shared" si="184"/>
        <v>3.605</v>
      </c>
      <c r="K365" s="7">
        <f>'[2]Лист1'!$O$1053+'[2]Лист1'!$O$2244</f>
        <v>2018070</v>
      </c>
      <c r="L365" s="7">
        <v>846721</v>
      </c>
      <c r="M365" s="7">
        <v>3</v>
      </c>
      <c r="N365" s="8">
        <f t="shared" si="180"/>
        <v>7.150182881964661</v>
      </c>
      <c r="O365" s="8">
        <f t="shared" si="174"/>
        <v>21.35933103011281</v>
      </c>
      <c r="P365" s="8">
        <f t="shared" si="181"/>
        <v>6.450517971094068</v>
      </c>
      <c r="Q365" s="58">
        <f t="shared" si="177"/>
        <v>21.786517650715066</v>
      </c>
      <c r="R365" s="78">
        <f>7.38*2+13.2+0.83*5+9.66+0.9*4+1.11+6.6*2+0.66*3+1.15*3+1.99*2+5+1.7</f>
        <v>75.78999999999999</v>
      </c>
      <c r="S365" s="79">
        <v>75.78999999999999</v>
      </c>
      <c r="T365" s="21">
        <f t="shared" si="178"/>
        <v>90.948</v>
      </c>
      <c r="U365" s="9">
        <f t="shared" si="186"/>
        <v>147.6945495338866</v>
      </c>
      <c r="V365" s="8">
        <f t="shared" si="185"/>
        <v>36.92363738347165</v>
      </c>
      <c r="W365" s="52">
        <f t="shared" si="175"/>
        <v>184.61818691735826</v>
      </c>
      <c r="X365" s="22">
        <v>184.61818691735826</v>
      </c>
      <c r="Y365" s="7"/>
      <c r="Z365" s="20">
        <v>150</v>
      </c>
      <c r="AA365" s="4">
        <v>152</v>
      </c>
      <c r="AB365" s="4">
        <v>152</v>
      </c>
      <c r="AC365" s="14">
        <f aca="true" t="shared" si="188" ref="AC365:AC374">(100*W365)/AA365-100</f>
        <v>21.459333498262012</v>
      </c>
      <c r="AD365" s="56">
        <v>157.64483581735823</v>
      </c>
      <c r="AE365" s="17">
        <f t="shared" si="176"/>
        <v>1.171102027923391</v>
      </c>
    </row>
    <row r="366" spans="1:31" ht="15">
      <c r="A366" s="43" t="s">
        <v>793</v>
      </c>
      <c r="B366" s="31" t="s">
        <v>256</v>
      </c>
      <c r="C366" s="7">
        <v>572624</v>
      </c>
      <c r="D366" s="7">
        <v>1800</v>
      </c>
      <c r="E366" s="7">
        <v>4</v>
      </c>
      <c r="F366" s="8">
        <f t="shared" si="183"/>
        <v>21.208296296296297</v>
      </c>
      <c r="G366" s="37">
        <v>389340</v>
      </c>
      <c r="H366" s="7">
        <v>1800</v>
      </c>
      <c r="I366" s="7">
        <v>1</v>
      </c>
      <c r="J366" s="8">
        <f t="shared" si="184"/>
        <v>3.605</v>
      </c>
      <c r="K366" s="7">
        <f>'[2]Лист1'!$O$1053+'[2]Лист1'!$O$2244</f>
        <v>2018070</v>
      </c>
      <c r="L366" s="7">
        <v>846721</v>
      </c>
      <c r="M366" s="7">
        <v>3</v>
      </c>
      <c r="N366" s="8">
        <f t="shared" si="180"/>
        <v>7.150182881964661</v>
      </c>
      <c r="O366" s="8">
        <f t="shared" si="174"/>
        <v>31.963479178260958</v>
      </c>
      <c r="P366" s="8">
        <f t="shared" si="181"/>
        <v>9.65297071183481</v>
      </c>
      <c r="Q366" s="58">
        <f t="shared" si="177"/>
        <v>32.60274876182618</v>
      </c>
      <c r="R366" s="78">
        <f>7.38*2+13.2+0.83*5+9.66+0.9*4+1.11+6.6+0.66+1.15*3+1.99*2+5+1.7</f>
        <v>67.86999999999999</v>
      </c>
      <c r="S366" s="79">
        <v>67.86999999999999</v>
      </c>
      <c r="T366" s="21">
        <f t="shared" si="178"/>
        <v>81.44399999999999</v>
      </c>
      <c r="U366" s="9">
        <f t="shared" si="186"/>
        <v>162.8133815338866</v>
      </c>
      <c r="V366" s="8">
        <f t="shared" si="185"/>
        <v>40.70334538347165</v>
      </c>
      <c r="W366" s="52">
        <f t="shared" si="175"/>
        <v>203.51672691735826</v>
      </c>
      <c r="X366" s="22">
        <v>203.51672691735826</v>
      </c>
      <c r="Y366" s="7"/>
      <c r="Z366" s="20">
        <v>169</v>
      </c>
      <c r="AA366" s="4">
        <v>150</v>
      </c>
      <c r="AB366" s="4">
        <v>190</v>
      </c>
      <c r="AC366" s="14">
        <f t="shared" si="188"/>
        <v>35.677817944905485</v>
      </c>
      <c r="AD366" s="56">
        <v>178.85488001735823</v>
      </c>
      <c r="AE366" s="17">
        <f t="shared" si="176"/>
        <v>1.1378874699846409</v>
      </c>
    </row>
    <row r="367" spans="1:31" ht="15">
      <c r="A367" s="43" t="s">
        <v>794</v>
      </c>
      <c r="B367" s="31" t="s">
        <v>257</v>
      </c>
      <c r="C367" s="7">
        <v>572624</v>
      </c>
      <c r="D367" s="7">
        <v>1800</v>
      </c>
      <c r="E367" s="7">
        <v>5</v>
      </c>
      <c r="F367" s="8">
        <f t="shared" si="183"/>
        <v>26.51037037037037</v>
      </c>
      <c r="G367" s="37">
        <v>389340</v>
      </c>
      <c r="H367" s="7">
        <v>1800</v>
      </c>
      <c r="I367" s="7">
        <v>3</v>
      </c>
      <c r="J367" s="8">
        <f t="shared" si="184"/>
        <v>10.815</v>
      </c>
      <c r="K367" s="7">
        <f>18000+3488.75+2070354</f>
        <v>2091842.75</v>
      </c>
      <c r="L367" s="7">
        <v>846721</v>
      </c>
      <c r="M367" s="7">
        <v>6</v>
      </c>
      <c r="N367" s="8">
        <f t="shared" si="180"/>
        <v>14.823131232129592</v>
      </c>
      <c r="O367" s="8">
        <f>F367+J367+N367</f>
        <v>52.14850160249996</v>
      </c>
      <c r="P367" s="8">
        <f>O367*0.302</f>
        <v>15.748847483954988</v>
      </c>
      <c r="Q367" s="58">
        <f t="shared" si="177"/>
        <v>53.19147163454996</v>
      </c>
      <c r="R367" s="78">
        <f>7.38*2+13.2+0.83*5+13.2+0.9*8+1.11+1.15*3+1.99*2+1.7+4+11</f>
        <v>77.75</v>
      </c>
      <c r="S367" s="79">
        <v>77.75</v>
      </c>
      <c r="T367" s="21">
        <f t="shared" si="178"/>
        <v>93.3</v>
      </c>
      <c r="U367" s="9">
        <f>N367+O367+P367+Q367+T367</f>
        <v>229.21195195313453</v>
      </c>
      <c r="V367" s="8">
        <f t="shared" si="185"/>
        <v>57.30298798828363</v>
      </c>
      <c r="W367" s="52">
        <f aca="true" t="shared" si="189" ref="W367:W423">U367+V367</f>
        <v>286.51493994141816</v>
      </c>
      <c r="X367" s="22">
        <v>285</v>
      </c>
      <c r="Y367" s="7"/>
      <c r="Z367" s="20">
        <v>235</v>
      </c>
      <c r="AA367" s="4">
        <v>257</v>
      </c>
      <c r="AB367" s="4">
        <v>257</v>
      </c>
      <c r="AC367" s="14">
        <f t="shared" si="188"/>
        <v>11.484412428567381</v>
      </c>
      <c r="AD367" s="56">
        <v>247.09117150317238</v>
      </c>
      <c r="AE367" s="17">
        <f t="shared" si="176"/>
        <v>1.1595515056179966</v>
      </c>
    </row>
    <row r="368" spans="1:31" ht="15">
      <c r="A368" s="43" t="s">
        <v>795</v>
      </c>
      <c r="B368" s="31" t="s">
        <v>258</v>
      </c>
      <c r="C368" s="7">
        <v>572624</v>
      </c>
      <c r="D368" s="7">
        <v>1800</v>
      </c>
      <c r="E368" s="7">
        <v>4</v>
      </c>
      <c r="F368" s="8">
        <f t="shared" si="183"/>
        <v>21.208296296296297</v>
      </c>
      <c r="G368" s="37">
        <v>389340</v>
      </c>
      <c r="H368" s="7">
        <v>1800</v>
      </c>
      <c r="I368" s="7">
        <v>3</v>
      </c>
      <c r="J368" s="8">
        <f t="shared" si="184"/>
        <v>10.815</v>
      </c>
      <c r="K368" s="7">
        <f>'[2]Лист1'!$O$2244+'[2]Лист1'!$O$1053</f>
        <v>2018070</v>
      </c>
      <c r="L368" s="7">
        <v>846721</v>
      </c>
      <c r="M368" s="7">
        <v>3</v>
      </c>
      <c r="N368" s="8">
        <f t="shared" si="180"/>
        <v>7.150182881964661</v>
      </c>
      <c r="O368" s="8">
        <f aca="true" t="shared" si="190" ref="O368:O388">F368+J368+N368</f>
        <v>39.173479178260955</v>
      </c>
      <c r="P368" s="8">
        <f t="shared" si="181"/>
        <v>11.830390711834808</v>
      </c>
      <c r="Q368" s="58">
        <f t="shared" si="177"/>
        <v>39.956948761826176</v>
      </c>
      <c r="R368" s="78">
        <f>7.38*2+13.2+0.83*5+9.66+0.9*4+1.11+6.66+0.66*3+1.15*3+1.99*2+1+1.7+1.15*3</f>
        <v>68.7</v>
      </c>
      <c r="S368" s="79">
        <v>68.7</v>
      </c>
      <c r="T368" s="21">
        <f t="shared" si="178"/>
        <v>82.44</v>
      </c>
      <c r="U368" s="9">
        <f t="shared" si="186"/>
        <v>180.5510015338866</v>
      </c>
      <c r="V368" s="8">
        <f t="shared" si="185"/>
        <v>45.13775038347165</v>
      </c>
      <c r="W368" s="52">
        <f t="shared" si="189"/>
        <v>225.68875191735825</v>
      </c>
      <c r="X368" s="22">
        <v>225.68875191735825</v>
      </c>
      <c r="Y368" s="7"/>
      <c r="Z368" s="20">
        <v>263</v>
      </c>
      <c r="AA368" s="4">
        <v>286</v>
      </c>
      <c r="AB368" s="4">
        <v>286</v>
      </c>
      <c r="AC368" s="14">
        <f t="shared" si="188"/>
        <v>-21.087848979944667</v>
      </c>
      <c r="AD368" s="56">
        <v>204.54126141735827</v>
      </c>
      <c r="AE368" s="17">
        <f t="shared" si="176"/>
        <v>1.1033898507981201</v>
      </c>
    </row>
    <row r="369" spans="1:31" ht="15">
      <c r="A369" s="43" t="s">
        <v>796</v>
      </c>
      <c r="B369" s="31" t="s">
        <v>259</v>
      </c>
      <c r="C369" s="7">
        <v>572624</v>
      </c>
      <c r="D369" s="7">
        <v>1800</v>
      </c>
      <c r="E369" s="7">
        <v>3</v>
      </c>
      <c r="F369" s="8">
        <f t="shared" si="183"/>
        <v>15.906222222222222</v>
      </c>
      <c r="G369" s="37">
        <v>389340</v>
      </c>
      <c r="H369" s="7">
        <v>1800</v>
      </c>
      <c r="I369" s="7">
        <v>4</v>
      </c>
      <c r="J369" s="8">
        <f t="shared" si="184"/>
        <v>14.42</v>
      </c>
      <c r="K369" s="7">
        <f>18000+3488.75+2070354</f>
        <v>2091842.75</v>
      </c>
      <c r="L369" s="7">
        <v>846721</v>
      </c>
      <c r="M369" s="7">
        <v>4</v>
      </c>
      <c r="N369" s="8">
        <f t="shared" si="180"/>
        <v>9.882087488086395</v>
      </c>
      <c r="O369" s="8">
        <f t="shared" si="190"/>
        <v>40.20830971030861</v>
      </c>
      <c r="P369" s="8">
        <f t="shared" si="181"/>
        <v>12.142909532513201</v>
      </c>
      <c r="Q369" s="58">
        <f t="shared" si="177"/>
        <v>41.01247590451479</v>
      </c>
      <c r="R369" s="78">
        <f>7.38+13.2+0.83*5+9.66+0.9*4+1.11+6.6+0.66*3+1.15*3+1.99*2+1+1.7</f>
        <v>57.81</v>
      </c>
      <c r="S369" s="79">
        <v>57.81</v>
      </c>
      <c r="T369" s="21">
        <f t="shared" si="178"/>
        <v>69.372</v>
      </c>
      <c r="U369" s="9">
        <f t="shared" si="186"/>
        <v>172.617782635423</v>
      </c>
      <c r="V369" s="8">
        <f t="shared" si="185"/>
        <v>43.15444565885575</v>
      </c>
      <c r="W369" s="52">
        <f t="shared" si="189"/>
        <v>215.77222829427876</v>
      </c>
      <c r="X369" s="22">
        <v>214</v>
      </c>
      <c r="Y369" s="7"/>
      <c r="Z369" s="20">
        <v>173</v>
      </c>
      <c r="AA369" s="4">
        <v>177</v>
      </c>
      <c r="AB369" s="4">
        <v>177</v>
      </c>
      <c r="AC369" s="14">
        <f t="shared" si="188"/>
        <v>21.90521372558122</v>
      </c>
      <c r="AD369" s="56">
        <v>184.74424482314433</v>
      </c>
      <c r="AE369" s="17">
        <f t="shared" si="176"/>
        <v>1.1679510152039514</v>
      </c>
    </row>
    <row r="370" spans="1:31" ht="15">
      <c r="A370" s="43" t="s">
        <v>797</v>
      </c>
      <c r="B370" s="31" t="s">
        <v>260</v>
      </c>
      <c r="C370" s="7">
        <v>572624</v>
      </c>
      <c r="D370" s="7">
        <v>1800</v>
      </c>
      <c r="E370" s="7">
        <v>4</v>
      </c>
      <c r="F370" s="8">
        <f t="shared" si="183"/>
        <v>21.208296296296297</v>
      </c>
      <c r="G370" s="37">
        <v>389340</v>
      </c>
      <c r="H370" s="7">
        <v>1800</v>
      </c>
      <c r="I370" s="7">
        <v>3</v>
      </c>
      <c r="J370" s="8">
        <f t="shared" si="184"/>
        <v>10.815</v>
      </c>
      <c r="K370" s="7">
        <f>18000+3488.75+2070354</f>
        <v>2091842.75</v>
      </c>
      <c r="L370" s="7">
        <v>846721</v>
      </c>
      <c r="M370" s="7">
        <v>3</v>
      </c>
      <c r="N370" s="8">
        <f t="shared" si="180"/>
        <v>7.411565616064796</v>
      </c>
      <c r="O370" s="8">
        <f t="shared" si="190"/>
        <v>39.43486191236109</v>
      </c>
      <c r="P370" s="8">
        <f t="shared" si="181"/>
        <v>11.90932829753305</v>
      </c>
      <c r="Q370" s="58">
        <f t="shared" si="177"/>
        <v>40.22355915060832</v>
      </c>
      <c r="R370" s="78">
        <f>7.38*2+13.2+0.83*5+9.66+0.9*4+1.11+6.6+0.66*3+1.15*3+1.99*2+1.7+2.5</f>
        <v>66.69</v>
      </c>
      <c r="S370" s="79">
        <v>66.69</v>
      </c>
      <c r="T370" s="21">
        <f t="shared" si="178"/>
        <v>80.02799999999999</v>
      </c>
      <c r="U370" s="9">
        <f t="shared" si="186"/>
        <v>179.00731497656724</v>
      </c>
      <c r="V370" s="8">
        <f t="shared" si="185"/>
        <v>44.75182874414181</v>
      </c>
      <c r="W370" s="52">
        <f t="shared" si="189"/>
        <v>223.75914372070906</v>
      </c>
      <c r="X370" s="22">
        <v>223</v>
      </c>
      <c r="Y370" s="7"/>
      <c r="Z370" s="20">
        <v>182</v>
      </c>
      <c r="AA370" s="4">
        <v>193</v>
      </c>
      <c r="AB370" s="4">
        <v>193</v>
      </c>
      <c r="AC370" s="14">
        <f t="shared" si="188"/>
        <v>15.937380166170499</v>
      </c>
      <c r="AD370" s="56">
        <v>193.70803995158616</v>
      </c>
      <c r="AE370" s="17">
        <f t="shared" si="176"/>
        <v>1.1551360685732694</v>
      </c>
    </row>
    <row r="371" spans="1:31" ht="15">
      <c r="A371" s="43" t="s">
        <v>798</v>
      </c>
      <c r="B371" s="31" t="s">
        <v>261</v>
      </c>
      <c r="C371" s="7">
        <v>572624</v>
      </c>
      <c r="D371" s="7">
        <v>1800</v>
      </c>
      <c r="E371" s="7">
        <v>3</v>
      </c>
      <c r="F371" s="8">
        <f t="shared" si="183"/>
        <v>15.906222222222222</v>
      </c>
      <c r="G371" s="37">
        <v>389340</v>
      </c>
      <c r="H371" s="7">
        <v>1800</v>
      </c>
      <c r="I371" s="7">
        <v>4</v>
      </c>
      <c r="J371" s="8">
        <f t="shared" si="184"/>
        <v>14.42</v>
      </c>
      <c r="K371" s="7">
        <f>'[2]Лист1'!$O$1053+'[2]Лист1'!$O$2244+'[2]Лист1'!$O$981</f>
        <v>2034831</v>
      </c>
      <c r="L371" s="7">
        <v>846721</v>
      </c>
      <c r="M371" s="7">
        <v>4</v>
      </c>
      <c r="N371" s="8">
        <f t="shared" si="180"/>
        <v>9.612757921440474</v>
      </c>
      <c r="O371" s="8">
        <f t="shared" si="190"/>
        <v>39.9389801436627</v>
      </c>
      <c r="P371" s="8">
        <f t="shared" si="181"/>
        <v>12.061572003386134</v>
      </c>
      <c r="Q371" s="58">
        <f t="shared" si="177"/>
        <v>40.73775974653595</v>
      </c>
      <c r="R371" s="78">
        <f>7.38*2+3.1+0.83*5+1.15*3+1.99*2+1.11+12.05*1.5+1.15*3+0.9*5+0.66+0.66+0.5</f>
        <v>58.394999999999996</v>
      </c>
      <c r="S371" s="79">
        <v>58.394999999999996</v>
      </c>
      <c r="T371" s="21">
        <f t="shared" si="178"/>
        <v>70.074</v>
      </c>
      <c r="U371" s="9">
        <f t="shared" si="186"/>
        <v>172.42506981502527</v>
      </c>
      <c r="V371" s="8">
        <f t="shared" si="185"/>
        <v>43.10626745375632</v>
      </c>
      <c r="W371" s="52">
        <f t="shared" si="189"/>
        <v>215.53133726878158</v>
      </c>
      <c r="X371" s="22">
        <v>215.53133726878158</v>
      </c>
      <c r="Y371" s="7"/>
      <c r="Z371" s="20">
        <v>177</v>
      </c>
      <c r="AA371" s="4">
        <v>191</v>
      </c>
      <c r="AB371" s="4">
        <v>191</v>
      </c>
      <c r="AC371" s="14">
        <f t="shared" si="188"/>
        <v>12.843632077896117</v>
      </c>
      <c r="AD371" s="56">
        <v>185.80429286878157</v>
      </c>
      <c r="AE371" s="17">
        <f t="shared" si="176"/>
        <v>1.1599911602741806</v>
      </c>
    </row>
    <row r="372" spans="1:31" ht="15">
      <c r="A372" s="43" t="s">
        <v>799</v>
      </c>
      <c r="B372" s="31" t="s">
        <v>262</v>
      </c>
      <c r="C372" s="7">
        <v>572624</v>
      </c>
      <c r="D372" s="7">
        <v>1800</v>
      </c>
      <c r="E372" s="7">
        <v>3</v>
      </c>
      <c r="F372" s="8">
        <f t="shared" si="183"/>
        <v>15.906222222222222</v>
      </c>
      <c r="G372" s="37">
        <v>389340</v>
      </c>
      <c r="H372" s="7">
        <v>1800</v>
      </c>
      <c r="I372" s="7">
        <v>4</v>
      </c>
      <c r="J372" s="8">
        <f>G372/H372/60*I372</f>
        <v>14.42</v>
      </c>
      <c r="K372" s="7">
        <f>18000+3488.75+2070354</f>
        <v>2091842.75</v>
      </c>
      <c r="L372" s="7">
        <v>846721</v>
      </c>
      <c r="M372" s="7">
        <v>5</v>
      </c>
      <c r="N372" s="8">
        <f t="shared" si="180"/>
        <v>12.352609360107994</v>
      </c>
      <c r="O372" s="8">
        <f t="shared" si="190"/>
        <v>42.67883158233022</v>
      </c>
      <c r="P372" s="8">
        <f t="shared" si="181"/>
        <v>12.889007137863725</v>
      </c>
      <c r="Q372" s="58">
        <f t="shared" si="177"/>
        <v>43.53240821397682</v>
      </c>
      <c r="R372" s="78">
        <f>7.38*2+13.2+0.83*5+0.9*5+1.11+0.66*3+1.15*3+1.99*2+1.7+1</f>
        <v>49.83</v>
      </c>
      <c r="S372" s="79">
        <v>49.83</v>
      </c>
      <c r="T372" s="21">
        <f t="shared" si="178"/>
        <v>59.79599999999999</v>
      </c>
      <c r="U372" s="9">
        <f>N372+O372+P372+Q372+T372</f>
        <v>171.24885629427877</v>
      </c>
      <c r="V372" s="8">
        <f t="shared" si="185"/>
        <v>42.81221407356969</v>
      </c>
      <c r="W372" s="52">
        <f t="shared" si="189"/>
        <v>214.06107036784846</v>
      </c>
      <c r="X372" s="22">
        <v>214.06107036784846</v>
      </c>
      <c r="Y372" s="7"/>
      <c r="Z372" s="20">
        <v>177</v>
      </c>
      <c r="AA372" s="4">
        <v>191</v>
      </c>
      <c r="AB372" s="4">
        <v>191</v>
      </c>
      <c r="AC372" s="14">
        <f t="shared" si="188"/>
        <v>12.073858831334263</v>
      </c>
      <c r="AD372" s="56">
        <v>185.94834894953308</v>
      </c>
      <c r="AE372" s="17">
        <f t="shared" si="176"/>
        <v>1.1511856468590922</v>
      </c>
    </row>
    <row r="373" spans="1:31" ht="15">
      <c r="A373" s="43" t="s">
        <v>800</v>
      </c>
      <c r="B373" s="31" t="s">
        <v>263</v>
      </c>
      <c r="C373" s="7">
        <v>572624</v>
      </c>
      <c r="D373" s="7">
        <v>1800</v>
      </c>
      <c r="E373" s="7">
        <v>5</v>
      </c>
      <c r="F373" s="8">
        <f t="shared" si="183"/>
        <v>26.51037037037037</v>
      </c>
      <c r="G373" s="37">
        <v>389340</v>
      </c>
      <c r="H373" s="7">
        <v>1800</v>
      </c>
      <c r="I373" s="7">
        <v>10</v>
      </c>
      <c r="J373" s="8">
        <f t="shared" si="184"/>
        <v>36.05</v>
      </c>
      <c r="K373" s="7">
        <f>'[2]Лист1'!$O$579+'[2]Лист1'!$O$979</f>
        <v>27155.5</v>
      </c>
      <c r="L373" s="7">
        <v>846721</v>
      </c>
      <c r="M373" s="7">
        <v>8</v>
      </c>
      <c r="N373" s="8">
        <f t="shared" si="180"/>
        <v>0.2565709365895023</v>
      </c>
      <c r="O373" s="8">
        <f t="shared" si="190"/>
        <v>62.81694130695987</v>
      </c>
      <c r="P373" s="8">
        <f t="shared" si="181"/>
        <v>18.97071627470188</v>
      </c>
      <c r="Q373" s="58">
        <f t="shared" si="177"/>
        <v>64.07328013309906</v>
      </c>
      <c r="R373" s="78">
        <f>7.38*2+13.2+0.83*5+9.66+1.9+1.11*2+0.66+0.66+1.15*3+1.99*2+1.7+5</f>
        <v>61.33999999999999</v>
      </c>
      <c r="S373" s="79">
        <v>61.33999999999999</v>
      </c>
      <c r="T373" s="21">
        <f t="shared" si="178"/>
        <v>73.60799999999999</v>
      </c>
      <c r="U373" s="9">
        <f>N373+O373+P373+Q373+T373</f>
        <v>219.7255086513503</v>
      </c>
      <c r="V373" s="8">
        <f t="shared" si="185"/>
        <v>54.93137716283758</v>
      </c>
      <c r="W373" s="52">
        <f t="shared" si="189"/>
        <v>274.6568858141879</v>
      </c>
      <c r="X373" s="22">
        <v>274.6568858141879</v>
      </c>
      <c r="Y373" s="7"/>
      <c r="Z373" s="20">
        <v>228</v>
      </c>
      <c r="AA373" s="4">
        <v>314</v>
      </c>
      <c r="AB373" s="4">
        <v>314</v>
      </c>
      <c r="AC373" s="14">
        <f t="shared" si="188"/>
        <v>-12.529654199303224</v>
      </c>
      <c r="AD373" s="56">
        <v>238.55602481418794</v>
      </c>
      <c r="AE373" s="17">
        <f t="shared" si="176"/>
        <v>1.151330745170318</v>
      </c>
    </row>
    <row r="374" spans="1:31" ht="15">
      <c r="A374" s="43" t="s">
        <v>801</v>
      </c>
      <c r="B374" s="31" t="s">
        <v>264</v>
      </c>
      <c r="C374" s="7">
        <v>572624</v>
      </c>
      <c r="D374" s="7">
        <v>1800</v>
      </c>
      <c r="E374" s="7">
        <v>10</v>
      </c>
      <c r="F374" s="8">
        <f t="shared" si="183"/>
        <v>53.02074074074074</v>
      </c>
      <c r="G374" s="37">
        <v>389340</v>
      </c>
      <c r="H374" s="7">
        <v>1800</v>
      </c>
      <c r="I374" s="7">
        <v>4</v>
      </c>
      <c r="J374" s="8">
        <f>G374/H374/60*I374</f>
        <v>14.42</v>
      </c>
      <c r="K374" s="7">
        <f>'[2]Лист1'!$O$2244</f>
        <v>2000070</v>
      </c>
      <c r="L374" s="7">
        <v>846721</v>
      </c>
      <c r="M374" s="7">
        <v>5</v>
      </c>
      <c r="N374" s="8">
        <f t="shared" si="180"/>
        <v>11.810679078468587</v>
      </c>
      <c r="O374" s="8">
        <f t="shared" si="190"/>
        <v>79.25141981920932</v>
      </c>
      <c r="P374" s="8">
        <f t="shared" si="181"/>
        <v>23.933928785401214</v>
      </c>
      <c r="Q374" s="58">
        <f t="shared" si="177"/>
        <v>80.8364482155935</v>
      </c>
      <c r="R374" s="78">
        <f>7.38*2+3.1+0.83*5+1.15*3+1.99*2+1.11*2+0.66*3+6.66*14+0.9*3+1.09*2+1.7</f>
        <v>133.45999999999998</v>
      </c>
      <c r="S374" s="79">
        <v>133.45999999999998</v>
      </c>
      <c r="T374" s="21">
        <f>S374*1.2</f>
        <v>160.15199999999996</v>
      </c>
      <c r="U374" s="9">
        <f>N374+O374+P374+Q374+T374</f>
        <v>355.9844758986726</v>
      </c>
      <c r="V374" s="8">
        <f t="shared" si="185"/>
        <v>88.99611897466815</v>
      </c>
      <c r="W374" s="52">
        <f t="shared" si="189"/>
        <v>444.98059487334075</v>
      </c>
      <c r="X374" s="22">
        <v>444.98059487334075</v>
      </c>
      <c r="Y374" s="7"/>
      <c r="Z374" s="20">
        <v>366</v>
      </c>
      <c r="AA374" s="4">
        <v>351</v>
      </c>
      <c r="AB374" s="4">
        <v>366</v>
      </c>
      <c r="AC374" s="14">
        <f t="shared" si="188"/>
        <v>26.775098254513026</v>
      </c>
      <c r="AD374" s="56">
        <v>389.46409327334084</v>
      </c>
      <c r="AE374" s="17">
        <f t="shared" si="176"/>
        <v>1.1425458792193104</v>
      </c>
    </row>
    <row r="375" spans="1:31" ht="15">
      <c r="A375" s="43" t="s">
        <v>802</v>
      </c>
      <c r="B375" s="31" t="s">
        <v>854</v>
      </c>
      <c r="C375" s="7">
        <v>572624</v>
      </c>
      <c r="D375" s="7">
        <v>1800</v>
      </c>
      <c r="E375" s="7">
        <v>6</v>
      </c>
      <c r="F375" s="8">
        <f>C375/D375/60*E375</f>
        <v>31.812444444444445</v>
      </c>
      <c r="G375" s="37">
        <v>389340</v>
      </c>
      <c r="H375" s="7">
        <v>1800</v>
      </c>
      <c r="I375" s="7">
        <v>3</v>
      </c>
      <c r="J375" s="8">
        <f t="shared" si="184"/>
        <v>10.815</v>
      </c>
      <c r="K375" s="7">
        <f aca="true" t="shared" si="191" ref="K375:K385">18000+3488.75+2070354</f>
        <v>2091842.75</v>
      </c>
      <c r="L375" s="7">
        <v>846721</v>
      </c>
      <c r="M375" s="7">
        <v>3</v>
      </c>
      <c r="N375" s="8">
        <f t="shared" si="180"/>
        <v>7.411565616064796</v>
      </c>
      <c r="O375" s="8">
        <f t="shared" si="190"/>
        <v>50.03901006050924</v>
      </c>
      <c r="P375" s="8">
        <f t="shared" si="181"/>
        <v>15.11178103827379</v>
      </c>
      <c r="Q375" s="58">
        <f t="shared" si="177"/>
        <v>51.039790261719425</v>
      </c>
      <c r="R375" s="78">
        <f>7.38+10.77+0.4+0.29+0.3+1.42+1.11+1.91+0.02+1.15*3+0.69+1.99*3</f>
        <v>33.709999999999994</v>
      </c>
      <c r="S375" s="78">
        <v>33.71</v>
      </c>
      <c r="T375" s="21">
        <f>S375*1.2</f>
        <v>40.452</v>
      </c>
      <c r="U375" s="9">
        <f aca="true" t="shared" si="192" ref="U375:U415">N375+O375+P375+Q375+T375</f>
        <v>164.05414697656724</v>
      </c>
      <c r="V375" s="8">
        <f t="shared" si="185"/>
        <v>41.01353674414181</v>
      </c>
      <c r="W375" s="52">
        <f t="shared" si="189"/>
        <v>205.06768372070906</v>
      </c>
      <c r="X375" s="20"/>
      <c r="Y375" s="4">
        <v>351</v>
      </c>
      <c r="Z375" s="4">
        <v>366</v>
      </c>
      <c r="AA375" s="14">
        <f>(100*U375)/Y375-100</f>
        <v>-53.26092678730278</v>
      </c>
      <c r="AB375" s="5"/>
      <c r="AD375" s="5"/>
      <c r="AE375" s="5"/>
    </row>
    <row r="376" spans="1:31" ht="15">
      <c r="A376" s="43" t="s">
        <v>803</v>
      </c>
      <c r="B376" s="31" t="s">
        <v>855</v>
      </c>
      <c r="C376" s="7">
        <v>572624</v>
      </c>
      <c r="D376" s="7">
        <v>1800</v>
      </c>
      <c r="E376" s="7">
        <v>5</v>
      </c>
      <c r="F376" s="8">
        <f t="shared" si="183"/>
        <v>26.51037037037037</v>
      </c>
      <c r="G376" s="37">
        <v>389340</v>
      </c>
      <c r="H376" s="7">
        <v>1800</v>
      </c>
      <c r="I376" s="7">
        <v>4</v>
      </c>
      <c r="J376" s="8">
        <f t="shared" si="184"/>
        <v>14.42</v>
      </c>
      <c r="K376" s="7">
        <f t="shared" si="191"/>
        <v>2091842.75</v>
      </c>
      <c r="L376" s="7">
        <v>846721</v>
      </c>
      <c r="M376" s="7">
        <v>4</v>
      </c>
      <c r="N376" s="8">
        <f t="shared" si="180"/>
        <v>9.882087488086395</v>
      </c>
      <c r="O376" s="8">
        <f t="shared" si="190"/>
        <v>50.81245785845677</v>
      </c>
      <c r="P376" s="8">
        <f t="shared" si="181"/>
        <v>15.345362273253944</v>
      </c>
      <c r="Q376" s="58">
        <f t="shared" si="177"/>
        <v>51.8287070156259</v>
      </c>
      <c r="R376" s="78">
        <f>7.38+13.99+0.4+0.29+0.3+1.42+1.11+1.91+0.02+1.15*3+0.69+1.99*3</f>
        <v>36.93</v>
      </c>
      <c r="S376" s="78">
        <v>36.93</v>
      </c>
      <c r="T376" s="21">
        <f aca="true" t="shared" si="193" ref="T376:T415">S376*1.2</f>
        <v>44.315999999999995</v>
      </c>
      <c r="U376" s="9">
        <f t="shared" si="192"/>
        <v>172.184614635423</v>
      </c>
      <c r="V376" s="8">
        <f t="shared" si="185"/>
        <v>43.04615365885575</v>
      </c>
      <c r="W376" s="52">
        <f t="shared" si="189"/>
        <v>215.23076829427876</v>
      </c>
      <c r="X376" s="20"/>
      <c r="Y376" s="4">
        <v>351</v>
      </c>
      <c r="Z376" s="4">
        <v>366</v>
      </c>
      <c r="AA376" s="14">
        <f>(100*U376)/Y376-100</f>
        <v>-50.94455423492223</v>
      </c>
      <c r="AB376" s="5"/>
      <c r="AD376" s="5"/>
      <c r="AE376" s="5"/>
    </row>
    <row r="377" spans="1:31" ht="15">
      <c r="A377" s="43" t="s">
        <v>804</v>
      </c>
      <c r="B377" s="31" t="s">
        <v>856</v>
      </c>
      <c r="C377" s="7">
        <v>572624</v>
      </c>
      <c r="D377" s="7">
        <v>1800</v>
      </c>
      <c r="E377" s="7">
        <v>4</v>
      </c>
      <c r="F377" s="8">
        <f t="shared" si="183"/>
        <v>21.208296296296297</v>
      </c>
      <c r="G377" s="37">
        <v>389340</v>
      </c>
      <c r="H377" s="7">
        <v>1800</v>
      </c>
      <c r="I377" s="7">
        <v>4</v>
      </c>
      <c r="J377" s="8">
        <f t="shared" si="184"/>
        <v>14.42</v>
      </c>
      <c r="K377" s="7">
        <f t="shared" si="191"/>
        <v>2091842.75</v>
      </c>
      <c r="L377" s="7">
        <v>846721</v>
      </c>
      <c r="M377" s="7">
        <v>5</v>
      </c>
      <c r="N377" s="8">
        <f t="shared" si="180"/>
        <v>12.352609360107994</v>
      </c>
      <c r="O377" s="8">
        <f t="shared" si="190"/>
        <v>47.98090565640429</v>
      </c>
      <c r="P377" s="8">
        <f t="shared" si="181"/>
        <v>14.490233508234095</v>
      </c>
      <c r="Q377" s="58">
        <f t="shared" si="177"/>
        <v>48.940523769532376</v>
      </c>
      <c r="R377" s="78">
        <f>7.38+3.43+0.4+0.29+0.3+1.42+1.11+1.91+0.02+1.15*3+0.69+1.99*3</f>
        <v>26.369999999999997</v>
      </c>
      <c r="S377" s="78">
        <v>26.37</v>
      </c>
      <c r="T377" s="21">
        <f t="shared" si="193"/>
        <v>31.644</v>
      </c>
      <c r="U377" s="9">
        <f t="shared" si="192"/>
        <v>155.40827229427876</v>
      </c>
      <c r="V377" s="8">
        <f t="shared" si="185"/>
        <v>38.85206807356969</v>
      </c>
      <c r="W377" s="52">
        <f t="shared" si="189"/>
        <v>194.26034036784844</v>
      </c>
      <c r="X377" s="20"/>
      <c r="Y377" s="4">
        <v>351</v>
      </c>
      <c r="Z377" s="4">
        <v>366</v>
      </c>
      <c r="AA377" s="14">
        <f>(100*U377)/Y377-100</f>
        <v>-55.72413894749893</v>
      </c>
      <c r="AB377" s="5"/>
      <c r="AD377" s="5"/>
      <c r="AE377" s="5"/>
    </row>
    <row r="378" spans="1:31" ht="15">
      <c r="A378" s="43" t="s">
        <v>805</v>
      </c>
      <c r="B378" s="31" t="s">
        <v>857</v>
      </c>
      <c r="C378" s="7">
        <v>572624</v>
      </c>
      <c r="D378" s="7">
        <v>1800</v>
      </c>
      <c r="E378" s="7">
        <v>6</v>
      </c>
      <c r="F378" s="8">
        <f>C378/D378/60*E378</f>
        <v>31.812444444444445</v>
      </c>
      <c r="G378" s="37">
        <v>389340</v>
      </c>
      <c r="H378" s="7">
        <v>1800</v>
      </c>
      <c r="I378" s="7">
        <v>4</v>
      </c>
      <c r="J378" s="8">
        <f t="shared" si="184"/>
        <v>14.42</v>
      </c>
      <c r="K378" s="7">
        <f t="shared" si="191"/>
        <v>2091842.75</v>
      </c>
      <c r="L378" s="7">
        <v>846721</v>
      </c>
      <c r="M378" s="7">
        <v>3</v>
      </c>
      <c r="N378" s="8">
        <f t="shared" si="180"/>
        <v>7.411565616064796</v>
      </c>
      <c r="O378" s="8">
        <f t="shared" si="190"/>
        <v>53.644010060509245</v>
      </c>
      <c r="P378" s="8">
        <f t="shared" si="181"/>
        <v>16.200491038273793</v>
      </c>
      <c r="Q378" s="58">
        <f t="shared" si="177"/>
        <v>54.71689026171943</v>
      </c>
      <c r="R378" s="78">
        <f>7.38+17.37+0.4+0.29+0.3+1.42+1.11+1.91+0.02+1.15*3+0.69+1.99*3</f>
        <v>40.309999999999995</v>
      </c>
      <c r="S378" s="78">
        <v>40.31</v>
      </c>
      <c r="T378" s="21">
        <f t="shared" si="193"/>
        <v>48.372</v>
      </c>
      <c r="U378" s="9">
        <f t="shared" si="192"/>
        <v>180.3449569765673</v>
      </c>
      <c r="V378" s="8">
        <f t="shared" si="185"/>
        <v>45.08623924414182</v>
      </c>
      <c r="W378" s="52">
        <f t="shared" si="189"/>
        <v>225.43119622070913</v>
      </c>
      <c r="X378" s="20"/>
      <c r="Y378" s="4">
        <v>351</v>
      </c>
      <c r="Z378" s="4">
        <v>366</v>
      </c>
      <c r="AA378" s="14">
        <f>(100*U378)/Y378-100</f>
        <v>-48.619670377046354</v>
      </c>
      <c r="AB378" s="5"/>
      <c r="AD378" s="5"/>
      <c r="AE378" s="5"/>
    </row>
    <row r="379" spans="1:31" ht="15">
      <c r="A379" s="43" t="s">
        <v>806</v>
      </c>
      <c r="B379" s="31" t="s">
        <v>858</v>
      </c>
      <c r="C379" s="7">
        <v>572624</v>
      </c>
      <c r="D379" s="7">
        <v>1800</v>
      </c>
      <c r="E379" s="7">
        <v>5</v>
      </c>
      <c r="F379" s="8">
        <f t="shared" si="183"/>
        <v>26.51037037037037</v>
      </c>
      <c r="G379" s="37">
        <v>389340</v>
      </c>
      <c r="H379" s="7">
        <v>1800</v>
      </c>
      <c r="I379" s="7">
        <v>5</v>
      </c>
      <c r="J379" s="8">
        <f t="shared" si="184"/>
        <v>18.025</v>
      </c>
      <c r="K379" s="7">
        <f t="shared" si="191"/>
        <v>2091842.75</v>
      </c>
      <c r="L379" s="7">
        <v>846721</v>
      </c>
      <c r="M379" s="7">
        <v>2</v>
      </c>
      <c r="N379" s="8">
        <f t="shared" si="180"/>
        <v>4.941043744043197</v>
      </c>
      <c r="O379" s="8">
        <f t="shared" si="190"/>
        <v>49.47641411441357</v>
      </c>
      <c r="P379" s="8">
        <f t="shared" si="181"/>
        <v>14.941877062552898</v>
      </c>
      <c r="Q379" s="58">
        <f t="shared" si="177"/>
        <v>50.46594239670184</v>
      </c>
      <c r="R379" s="78">
        <f>7.38+1.34+0.4+0.29+0.3+1.42+1.11+1.91+0.02+1.15*3+0.69+1.99*3</f>
        <v>24.28</v>
      </c>
      <c r="S379" s="78">
        <v>24.28</v>
      </c>
      <c r="T379" s="21">
        <f t="shared" si="193"/>
        <v>29.136</v>
      </c>
      <c r="U379" s="9">
        <f t="shared" si="192"/>
        <v>148.9612773177115</v>
      </c>
      <c r="V379" s="8">
        <f t="shared" si="185"/>
        <v>37.24031932942788</v>
      </c>
      <c r="W379" s="52">
        <f t="shared" si="189"/>
        <v>186.20159664713938</v>
      </c>
      <c r="X379" s="20"/>
      <c r="Y379" s="4">
        <v>351</v>
      </c>
      <c r="Z379" s="4">
        <v>366</v>
      </c>
      <c r="AA379" s="14">
        <f aca="true" t="shared" si="194" ref="AA379:AA384">(100*U379)/Y379-100</f>
        <v>-57.560889653073644</v>
      </c>
      <c r="AB379" s="5"/>
      <c r="AD379" s="5"/>
      <c r="AE379" s="5"/>
    </row>
    <row r="380" spans="1:31" ht="15">
      <c r="A380" s="43" t="s">
        <v>807</v>
      </c>
      <c r="B380" s="31" t="s">
        <v>859</v>
      </c>
      <c r="C380" s="7">
        <v>572624</v>
      </c>
      <c r="D380" s="7">
        <v>1800</v>
      </c>
      <c r="E380" s="7">
        <v>6</v>
      </c>
      <c r="F380" s="8">
        <f t="shared" si="183"/>
        <v>31.812444444444445</v>
      </c>
      <c r="G380" s="37">
        <v>389340</v>
      </c>
      <c r="H380" s="7">
        <v>1800</v>
      </c>
      <c r="I380" s="7">
        <v>3</v>
      </c>
      <c r="J380" s="8">
        <f t="shared" si="184"/>
        <v>10.815</v>
      </c>
      <c r="K380" s="7">
        <f t="shared" si="191"/>
        <v>2091842.75</v>
      </c>
      <c r="L380" s="7">
        <v>846721</v>
      </c>
      <c r="M380" s="7">
        <v>4</v>
      </c>
      <c r="N380" s="8">
        <f t="shared" si="180"/>
        <v>9.882087488086395</v>
      </c>
      <c r="O380" s="8">
        <f t="shared" si="190"/>
        <v>52.509531932530834</v>
      </c>
      <c r="P380" s="8">
        <f t="shared" si="181"/>
        <v>15.85787864362431</v>
      </c>
      <c r="Q380" s="58">
        <f t="shared" si="177"/>
        <v>53.55972257118145</v>
      </c>
      <c r="R380" s="78">
        <f>7.38+12.45+0.4+0.29+0.3+1.42+1.11+1.91+0.02+1.15*3+0.69+1.99*3</f>
        <v>35.38999999999999</v>
      </c>
      <c r="S380" s="78">
        <v>35.39</v>
      </c>
      <c r="T380" s="21">
        <f t="shared" si="193"/>
        <v>42.467999999999996</v>
      </c>
      <c r="U380" s="9">
        <f t="shared" si="192"/>
        <v>174.277220635423</v>
      </c>
      <c r="V380" s="8">
        <f t="shared" si="185"/>
        <v>43.56930515885575</v>
      </c>
      <c r="W380" s="52">
        <f t="shared" si="189"/>
        <v>217.84652579427873</v>
      </c>
      <c r="X380" s="20"/>
      <c r="Y380" s="4">
        <v>351</v>
      </c>
      <c r="Z380" s="4">
        <v>366</v>
      </c>
      <c r="AA380" s="14">
        <f t="shared" si="194"/>
        <v>-50.348370189338176</v>
      </c>
      <c r="AB380" s="5"/>
      <c r="AD380" s="5"/>
      <c r="AE380" s="5"/>
    </row>
    <row r="381" spans="1:31" ht="30">
      <c r="A381" s="43" t="s">
        <v>808</v>
      </c>
      <c r="B381" s="31" t="s">
        <v>860</v>
      </c>
      <c r="C381" s="7">
        <v>572624</v>
      </c>
      <c r="D381" s="7">
        <v>1800</v>
      </c>
      <c r="E381" s="7">
        <v>5</v>
      </c>
      <c r="F381" s="8">
        <f t="shared" si="183"/>
        <v>26.51037037037037</v>
      </c>
      <c r="G381" s="37">
        <v>389340</v>
      </c>
      <c r="H381" s="7">
        <v>1800</v>
      </c>
      <c r="I381" s="7">
        <v>4</v>
      </c>
      <c r="J381" s="8">
        <f t="shared" si="184"/>
        <v>14.42</v>
      </c>
      <c r="K381" s="7">
        <f t="shared" si="191"/>
        <v>2091842.75</v>
      </c>
      <c r="L381" s="7">
        <v>846721</v>
      </c>
      <c r="M381" s="7">
        <v>4</v>
      </c>
      <c r="N381" s="8">
        <f t="shared" si="180"/>
        <v>9.882087488086395</v>
      </c>
      <c r="O381" s="8">
        <f t="shared" si="190"/>
        <v>50.81245785845677</v>
      </c>
      <c r="P381" s="8">
        <f t="shared" si="181"/>
        <v>15.345362273253944</v>
      </c>
      <c r="Q381" s="58">
        <f t="shared" si="177"/>
        <v>51.8287070156259</v>
      </c>
      <c r="R381" s="78">
        <f>7.38+6.09+0.4+0.29+0.3+1.42+1.11+1.91+0.02+1.15*3+0.69+1.99*3</f>
        <v>29.029999999999998</v>
      </c>
      <c r="S381" s="78">
        <v>29.03</v>
      </c>
      <c r="T381" s="21">
        <f t="shared" si="193"/>
        <v>34.836</v>
      </c>
      <c r="U381" s="9">
        <f t="shared" si="192"/>
        <v>162.704614635423</v>
      </c>
      <c r="V381" s="8">
        <f t="shared" si="185"/>
        <v>40.67615365885575</v>
      </c>
      <c r="W381" s="52">
        <f t="shared" si="189"/>
        <v>203.38076829427877</v>
      </c>
      <c r="X381" s="20"/>
      <c r="Y381" s="4">
        <v>351</v>
      </c>
      <c r="Z381" s="4">
        <v>366</v>
      </c>
      <c r="AA381" s="14">
        <f t="shared" si="194"/>
        <v>-53.64540893577691</v>
      </c>
      <c r="AB381" s="5"/>
      <c r="AD381" s="5"/>
      <c r="AE381" s="5"/>
    </row>
    <row r="382" spans="1:31" ht="15">
      <c r="A382" s="43" t="s">
        <v>809</v>
      </c>
      <c r="B382" s="31" t="s">
        <v>861</v>
      </c>
      <c r="C382" s="7">
        <v>572624</v>
      </c>
      <c r="D382" s="7">
        <v>1800</v>
      </c>
      <c r="E382" s="7">
        <v>6</v>
      </c>
      <c r="F382" s="8">
        <f t="shared" si="183"/>
        <v>31.812444444444445</v>
      </c>
      <c r="G382" s="37">
        <v>389340</v>
      </c>
      <c r="H382" s="7">
        <v>1800</v>
      </c>
      <c r="I382" s="7">
        <v>4</v>
      </c>
      <c r="J382" s="8">
        <f t="shared" si="184"/>
        <v>14.42</v>
      </c>
      <c r="K382" s="7">
        <f t="shared" si="191"/>
        <v>2091842.75</v>
      </c>
      <c r="L382" s="7">
        <v>846721</v>
      </c>
      <c r="M382" s="7">
        <v>3</v>
      </c>
      <c r="N382" s="8">
        <f t="shared" si="180"/>
        <v>7.411565616064796</v>
      </c>
      <c r="O382" s="8">
        <f t="shared" si="190"/>
        <v>53.644010060509245</v>
      </c>
      <c r="P382" s="8">
        <f t="shared" si="181"/>
        <v>16.200491038273793</v>
      </c>
      <c r="Q382" s="58">
        <f t="shared" si="177"/>
        <v>54.71689026171943</v>
      </c>
      <c r="R382" s="78">
        <f>7.38*2+31.28+0.4+0.29+0.3+1.42+1.11+1.91+0.02+1.15*3+0.69+1.99*3</f>
        <v>61.599999999999994</v>
      </c>
      <c r="S382" s="78">
        <v>61.6</v>
      </c>
      <c r="T382" s="21">
        <f t="shared" si="193"/>
        <v>73.92</v>
      </c>
      <c r="U382" s="9">
        <f t="shared" si="192"/>
        <v>205.8929569765673</v>
      </c>
      <c r="V382" s="8">
        <f t="shared" si="185"/>
        <v>51.47323924414182</v>
      </c>
      <c r="W382" s="52">
        <f t="shared" si="189"/>
        <v>257.3661962207091</v>
      </c>
      <c r="X382" s="20"/>
      <c r="Y382" s="4">
        <v>351</v>
      </c>
      <c r="Z382" s="4">
        <v>366</v>
      </c>
      <c r="AA382" s="14">
        <f t="shared" si="194"/>
        <v>-41.34103789841387</v>
      </c>
      <c r="AB382" s="5"/>
      <c r="AD382" s="5"/>
      <c r="AE382" s="5"/>
    </row>
    <row r="383" spans="1:31" ht="15">
      <c r="A383" s="43" t="s">
        <v>810</v>
      </c>
      <c r="B383" s="31" t="s">
        <v>862</v>
      </c>
      <c r="C383" s="7">
        <v>572624</v>
      </c>
      <c r="D383" s="7">
        <v>1800</v>
      </c>
      <c r="E383" s="7">
        <v>7</v>
      </c>
      <c r="F383" s="8">
        <f t="shared" si="183"/>
        <v>37.11451851851852</v>
      </c>
      <c r="G383" s="37">
        <v>389340</v>
      </c>
      <c r="H383" s="7">
        <v>1800</v>
      </c>
      <c r="I383" s="7">
        <v>3</v>
      </c>
      <c r="J383" s="8">
        <f t="shared" si="184"/>
        <v>10.815</v>
      </c>
      <c r="K383" s="7">
        <f t="shared" si="191"/>
        <v>2091842.75</v>
      </c>
      <c r="L383" s="7">
        <v>846721</v>
      </c>
      <c r="M383" s="7">
        <v>2</v>
      </c>
      <c r="N383" s="8">
        <f t="shared" si="180"/>
        <v>4.941043744043197</v>
      </c>
      <c r="O383" s="8">
        <f t="shared" si="190"/>
        <v>52.87056226256172</v>
      </c>
      <c r="P383" s="8">
        <f t="shared" si="181"/>
        <v>15.966909803293639</v>
      </c>
      <c r="Q383" s="58">
        <f t="shared" si="177"/>
        <v>53.92797350781296</v>
      </c>
      <c r="R383" s="78">
        <f>7.38*2+29.1+0.4+0.29+0.3+1.42+1.11+1.91+0.02+1.15*3+0.69+1.99*3</f>
        <v>59.419999999999995</v>
      </c>
      <c r="S383" s="78">
        <v>59.42</v>
      </c>
      <c r="T383" s="21">
        <f t="shared" si="193"/>
        <v>71.304</v>
      </c>
      <c r="U383" s="9">
        <f t="shared" si="192"/>
        <v>199.01048931771152</v>
      </c>
      <c r="V383" s="8">
        <f t="shared" si="185"/>
        <v>49.75262232942788</v>
      </c>
      <c r="W383" s="52">
        <f t="shared" si="189"/>
        <v>248.7631116471394</v>
      </c>
      <c r="X383" s="20"/>
      <c r="Y383" s="4">
        <v>351</v>
      </c>
      <c r="Z383" s="4">
        <v>366</v>
      </c>
      <c r="AA383" s="14">
        <f t="shared" si="194"/>
        <v>-43.30185489523889</v>
      </c>
      <c r="AB383" s="5"/>
      <c r="AD383" s="5"/>
      <c r="AE383" s="5"/>
    </row>
    <row r="384" spans="1:31" ht="15">
      <c r="A384" s="43" t="s">
        <v>811</v>
      </c>
      <c r="B384" s="31" t="s">
        <v>889</v>
      </c>
      <c r="C384" s="7">
        <v>572624</v>
      </c>
      <c r="D384" s="7">
        <v>1800</v>
      </c>
      <c r="E384" s="7">
        <v>6</v>
      </c>
      <c r="F384" s="8">
        <f t="shared" si="183"/>
        <v>31.812444444444445</v>
      </c>
      <c r="G384" s="37">
        <v>389340</v>
      </c>
      <c r="H384" s="7">
        <v>1800</v>
      </c>
      <c r="I384" s="7">
        <v>2</v>
      </c>
      <c r="J384" s="8">
        <f t="shared" si="184"/>
        <v>7.21</v>
      </c>
      <c r="K384" s="7">
        <f t="shared" si="191"/>
        <v>2091842.75</v>
      </c>
      <c r="L384" s="7">
        <v>846721</v>
      </c>
      <c r="M384" s="7">
        <v>5</v>
      </c>
      <c r="N384" s="8">
        <f t="shared" si="180"/>
        <v>12.352609360107994</v>
      </c>
      <c r="O384" s="8">
        <f t="shared" si="190"/>
        <v>51.37505380455244</v>
      </c>
      <c r="P384" s="8">
        <f t="shared" si="181"/>
        <v>15.515266248974836</v>
      </c>
      <c r="Q384" s="58">
        <f t="shared" si="177"/>
        <v>52.402554880643486</v>
      </c>
      <c r="R384" s="78">
        <f>7.38*2+31.28+0.4+0.29+0.3+1.42+1.11+1.91+0.02+1.15*3+0.69+1.99*3</f>
        <v>61.599999999999994</v>
      </c>
      <c r="S384" s="78">
        <v>61.6</v>
      </c>
      <c r="T384" s="21">
        <f t="shared" si="193"/>
        <v>73.92</v>
      </c>
      <c r="U384" s="9">
        <f t="shared" si="192"/>
        <v>205.56548429427875</v>
      </c>
      <c r="V384" s="8">
        <f t="shared" si="185"/>
        <v>51.39137107356969</v>
      </c>
      <c r="W384" s="52">
        <f t="shared" si="189"/>
        <v>256.95685536784845</v>
      </c>
      <c r="X384" s="20"/>
      <c r="Y384" s="4">
        <v>351</v>
      </c>
      <c r="Z384" s="4">
        <v>366</v>
      </c>
      <c r="AA384" s="14">
        <f t="shared" si="194"/>
        <v>-41.434334958894944</v>
      </c>
      <c r="AB384" s="5"/>
      <c r="AD384" s="5"/>
      <c r="AE384" s="5"/>
    </row>
    <row r="385" spans="1:31" ht="15">
      <c r="A385" s="43" t="s">
        <v>922</v>
      </c>
      <c r="B385" s="31" t="s">
        <v>863</v>
      </c>
      <c r="C385" s="7">
        <v>572624</v>
      </c>
      <c r="D385" s="7">
        <v>1800</v>
      </c>
      <c r="E385" s="7">
        <v>5</v>
      </c>
      <c r="F385" s="8">
        <f t="shared" si="183"/>
        <v>26.51037037037037</v>
      </c>
      <c r="G385" s="37">
        <v>389340</v>
      </c>
      <c r="H385" s="7">
        <v>1800</v>
      </c>
      <c r="I385" s="7">
        <v>3</v>
      </c>
      <c r="J385" s="8">
        <f t="shared" si="184"/>
        <v>10.815</v>
      </c>
      <c r="K385" s="7">
        <f t="shared" si="191"/>
        <v>2091842.75</v>
      </c>
      <c r="L385" s="7">
        <v>846721</v>
      </c>
      <c r="M385" s="7">
        <v>5</v>
      </c>
      <c r="N385" s="8">
        <f t="shared" si="180"/>
        <v>12.352609360107994</v>
      </c>
      <c r="O385" s="8">
        <f t="shared" si="190"/>
        <v>49.67797973047837</v>
      </c>
      <c r="P385" s="8">
        <f t="shared" si="181"/>
        <v>15.002749878604467</v>
      </c>
      <c r="Q385" s="58">
        <f t="shared" si="177"/>
        <v>50.67153932508794</v>
      </c>
      <c r="R385" s="78">
        <f>7.38*2+103.5+0.4+0.29+0.3+1.42+1.11+1.91+0.02+1.15*3+0.69+1.99*3</f>
        <v>133.82000000000002</v>
      </c>
      <c r="S385" s="78">
        <v>133.82</v>
      </c>
      <c r="T385" s="21">
        <f t="shared" si="193"/>
        <v>160.58399999999997</v>
      </c>
      <c r="U385" s="9">
        <f t="shared" si="192"/>
        <v>288.28887829427873</v>
      </c>
      <c r="V385" s="8">
        <f t="shared" si="185"/>
        <v>72.07221957356968</v>
      </c>
      <c r="W385" s="52">
        <f t="shared" si="189"/>
        <v>360.3610978678484</v>
      </c>
      <c r="X385" s="20"/>
      <c r="Y385" s="4">
        <v>351</v>
      </c>
      <c r="Z385" s="4">
        <v>366</v>
      </c>
      <c r="AA385" s="14">
        <f aca="true" t="shared" si="195" ref="AA385:AA415">(100*U385)/Y385-100</f>
        <v>-17.866416440376426</v>
      </c>
      <c r="AB385" s="5"/>
      <c r="AD385" s="5"/>
      <c r="AE385" s="5"/>
    </row>
    <row r="386" spans="1:31" ht="15">
      <c r="A386" s="43" t="s">
        <v>923</v>
      </c>
      <c r="B386" s="31" t="s">
        <v>900</v>
      </c>
      <c r="C386" s="7">
        <v>572624</v>
      </c>
      <c r="D386" s="7">
        <v>1800</v>
      </c>
      <c r="E386" s="7">
        <v>5</v>
      </c>
      <c r="F386" s="8">
        <f t="shared" si="183"/>
        <v>26.51037037037037</v>
      </c>
      <c r="G386" s="37">
        <v>389340</v>
      </c>
      <c r="H386" s="7">
        <v>1800</v>
      </c>
      <c r="I386" s="7">
        <v>2</v>
      </c>
      <c r="J386" s="8">
        <f t="shared" si="184"/>
        <v>7.21</v>
      </c>
      <c r="K386" s="7">
        <f>3488.75+18000+1900000</f>
        <v>1921488.75</v>
      </c>
      <c r="L386" s="7">
        <v>846721</v>
      </c>
      <c r="M386" s="7">
        <v>3</v>
      </c>
      <c r="N386" s="8">
        <f t="shared" si="180"/>
        <v>6.807987814167832</v>
      </c>
      <c r="O386" s="8">
        <f t="shared" si="190"/>
        <v>40.5283581845382</v>
      </c>
      <c r="P386" s="8">
        <f t="shared" si="181"/>
        <v>12.239564171730535</v>
      </c>
      <c r="Q386" s="58">
        <f t="shared" si="177"/>
        <v>41.33892534822896</v>
      </c>
      <c r="R386" s="78">
        <f aca="true" t="shared" si="196" ref="R386:R392">6.1/17+2950/34+1.52+9.36*4/17+9.35*18/17+6.5*7/17+15.8/17+22.2*3/17+0.9+116.22/40+0.64/40+0.8/17+2.14*3/17+0.3</f>
        <v>112.81561764705883</v>
      </c>
      <c r="S386" s="78">
        <v>112.82</v>
      </c>
      <c r="T386" s="21">
        <f t="shared" si="193"/>
        <v>135.384</v>
      </c>
      <c r="U386" s="9">
        <f t="shared" si="192"/>
        <v>236.2988355186655</v>
      </c>
      <c r="V386" s="8">
        <f t="shared" si="185"/>
        <v>59.074708879666375</v>
      </c>
      <c r="W386" s="52">
        <f t="shared" si="189"/>
        <v>295.3735443983319</v>
      </c>
      <c r="X386" s="20"/>
      <c r="Y386" s="4">
        <v>351</v>
      </c>
      <c r="Z386" s="4">
        <v>366</v>
      </c>
      <c r="AA386" s="14">
        <f t="shared" si="195"/>
        <v>-32.678394439126635</v>
      </c>
      <c r="AB386" s="5"/>
      <c r="AD386" s="5"/>
      <c r="AE386" s="5"/>
    </row>
    <row r="387" spans="1:31" ht="15">
      <c r="A387" s="43" t="s">
        <v>924</v>
      </c>
      <c r="B387" s="31" t="s">
        <v>903</v>
      </c>
      <c r="C387" s="7">
        <v>572624</v>
      </c>
      <c r="D387" s="7">
        <v>1800</v>
      </c>
      <c r="E387" s="7">
        <v>4</v>
      </c>
      <c r="F387" s="8">
        <f t="shared" si="183"/>
        <v>21.208296296296297</v>
      </c>
      <c r="G387" s="37">
        <v>389340</v>
      </c>
      <c r="H387" s="7">
        <v>1800</v>
      </c>
      <c r="I387" s="7">
        <v>3</v>
      </c>
      <c r="J387" s="8">
        <f t="shared" si="184"/>
        <v>10.815</v>
      </c>
      <c r="K387" s="7">
        <f>3488.75+18000+1900000</f>
        <v>1921488.75</v>
      </c>
      <c r="L387" s="7">
        <v>846721</v>
      </c>
      <c r="M387" s="7">
        <v>3</v>
      </c>
      <c r="N387" s="8">
        <f t="shared" si="180"/>
        <v>6.807987814167832</v>
      </c>
      <c r="O387" s="8">
        <f t="shared" si="190"/>
        <v>38.831284110464125</v>
      </c>
      <c r="P387" s="8">
        <f t="shared" si="181"/>
        <v>11.727047801360165</v>
      </c>
      <c r="Q387" s="58">
        <f t="shared" si="177"/>
        <v>39.60790979267341</v>
      </c>
      <c r="R387" s="78">
        <f t="shared" si="196"/>
        <v>112.81561764705883</v>
      </c>
      <c r="S387" s="78">
        <v>112.82</v>
      </c>
      <c r="T387" s="21">
        <f t="shared" si="193"/>
        <v>135.384</v>
      </c>
      <c r="U387" s="9">
        <f t="shared" si="192"/>
        <v>232.35822951866552</v>
      </c>
      <c r="V387" s="8">
        <f t="shared" si="185"/>
        <v>58.08955737966638</v>
      </c>
      <c r="W387" s="52">
        <f t="shared" si="189"/>
        <v>290.4477868983319</v>
      </c>
      <c r="X387" s="20"/>
      <c r="Y387" s="4">
        <v>351</v>
      </c>
      <c r="Z387" s="4">
        <v>366</v>
      </c>
      <c r="AA387" s="14">
        <f t="shared" si="195"/>
        <v>-33.8010742112064</v>
      </c>
      <c r="AB387" s="5"/>
      <c r="AD387" s="5"/>
      <c r="AE387" s="5"/>
    </row>
    <row r="388" spans="1:31" ht="15">
      <c r="A388" s="43" t="s">
        <v>925</v>
      </c>
      <c r="B388" s="31" t="s">
        <v>909</v>
      </c>
      <c r="C388" s="7">
        <v>572624</v>
      </c>
      <c r="D388" s="7">
        <v>1800</v>
      </c>
      <c r="E388" s="7">
        <v>5</v>
      </c>
      <c r="F388" s="8">
        <f t="shared" si="183"/>
        <v>26.51037037037037</v>
      </c>
      <c r="G388" s="37">
        <v>389340</v>
      </c>
      <c r="H388" s="7">
        <v>1800</v>
      </c>
      <c r="I388" s="7">
        <v>4</v>
      </c>
      <c r="J388" s="8">
        <f t="shared" si="184"/>
        <v>14.42</v>
      </c>
      <c r="K388" s="7">
        <f>3488.75+18000+1900000</f>
        <v>1921488.75</v>
      </c>
      <c r="L388" s="7">
        <v>846721</v>
      </c>
      <c r="M388" s="7">
        <v>3</v>
      </c>
      <c r="N388" s="8">
        <f t="shared" si="180"/>
        <v>6.807987814167832</v>
      </c>
      <c r="O388" s="8">
        <f t="shared" si="190"/>
        <v>47.7383581845382</v>
      </c>
      <c r="P388" s="8">
        <f t="shared" si="181"/>
        <v>14.416984171730537</v>
      </c>
      <c r="Q388" s="58">
        <f t="shared" si="177"/>
        <v>48.69312534822897</v>
      </c>
      <c r="R388" s="78">
        <f t="shared" si="196"/>
        <v>112.81561764705883</v>
      </c>
      <c r="S388" s="78">
        <v>112.82</v>
      </c>
      <c r="T388" s="21">
        <f t="shared" si="193"/>
        <v>135.384</v>
      </c>
      <c r="U388" s="9">
        <f t="shared" si="192"/>
        <v>253.0404555186655</v>
      </c>
      <c r="V388" s="8">
        <f t="shared" si="185"/>
        <v>63.26011387966638</v>
      </c>
      <c r="W388" s="52">
        <f t="shared" si="189"/>
        <v>316.3005693983319</v>
      </c>
      <c r="X388" s="20"/>
      <c r="Y388" s="4">
        <v>351</v>
      </c>
      <c r="Z388" s="4">
        <v>366</v>
      </c>
      <c r="AA388" s="14">
        <f t="shared" si="195"/>
        <v>-27.908702131434325</v>
      </c>
      <c r="AB388" s="5"/>
      <c r="AD388" s="5"/>
      <c r="AE388" s="5"/>
    </row>
    <row r="389" spans="1:31" ht="16.5" customHeight="1">
      <c r="A389" s="43" t="s">
        <v>926</v>
      </c>
      <c r="B389" s="31" t="s">
        <v>902</v>
      </c>
      <c r="C389" s="7">
        <v>572624</v>
      </c>
      <c r="D389" s="7">
        <v>1800</v>
      </c>
      <c r="E389" s="7">
        <v>4</v>
      </c>
      <c r="F389" s="8">
        <f t="shared" si="183"/>
        <v>21.208296296296297</v>
      </c>
      <c r="G389" s="37">
        <v>389340</v>
      </c>
      <c r="H389" s="7">
        <v>1800</v>
      </c>
      <c r="I389" s="7">
        <v>3</v>
      </c>
      <c r="J389" s="8">
        <f t="shared" si="184"/>
        <v>10.815</v>
      </c>
      <c r="K389" s="7">
        <f>3488.75+18000+1900000</f>
        <v>1921488.75</v>
      </c>
      <c r="L389" s="7">
        <v>846721</v>
      </c>
      <c r="M389" s="7">
        <v>3</v>
      </c>
      <c r="N389" s="8">
        <f t="shared" si="180"/>
        <v>6.807987814167832</v>
      </c>
      <c r="O389" s="8">
        <f>F389+J389+N389</f>
        <v>38.831284110464125</v>
      </c>
      <c r="P389" s="8">
        <f>O389*0.302</f>
        <v>11.727047801360165</v>
      </c>
      <c r="Q389" s="58">
        <f>(O389)*102%</f>
        <v>39.60790979267341</v>
      </c>
      <c r="R389" s="78">
        <f t="shared" si="196"/>
        <v>112.81561764705883</v>
      </c>
      <c r="S389" s="78">
        <v>112.82</v>
      </c>
      <c r="T389" s="21">
        <f t="shared" si="193"/>
        <v>135.384</v>
      </c>
      <c r="U389" s="9">
        <f t="shared" si="192"/>
        <v>232.35822951866552</v>
      </c>
      <c r="V389" s="8">
        <f t="shared" si="185"/>
        <v>58.08955737966638</v>
      </c>
      <c r="W389" s="52">
        <f t="shared" si="189"/>
        <v>290.4477868983319</v>
      </c>
      <c r="X389" s="20"/>
      <c r="Y389" s="4">
        <v>351</v>
      </c>
      <c r="Z389" s="4">
        <v>366</v>
      </c>
      <c r="AA389" s="14">
        <f t="shared" si="195"/>
        <v>-33.8010742112064</v>
      </c>
      <c r="AB389" s="5"/>
      <c r="AD389" s="5"/>
      <c r="AE389" s="5"/>
    </row>
    <row r="390" spans="1:31" ht="15">
      <c r="A390" s="43" t="s">
        <v>927</v>
      </c>
      <c r="B390" s="31" t="s">
        <v>894</v>
      </c>
      <c r="C390" s="7">
        <v>572624</v>
      </c>
      <c r="D390" s="7">
        <v>1800</v>
      </c>
      <c r="E390" s="7">
        <v>5</v>
      </c>
      <c r="F390" s="8">
        <f t="shared" si="183"/>
        <v>26.51037037037037</v>
      </c>
      <c r="G390" s="37">
        <v>389340</v>
      </c>
      <c r="H390" s="7">
        <v>1800</v>
      </c>
      <c r="I390" s="7">
        <v>4</v>
      </c>
      <c r="J390" s="8">
        <f t="shared" si="184"/>
        <v>14.42</v>
      </c>
      <c r="K390" s="7">
        <f>3488.75+18000+1900000</f>
        <v>1921488.75</v>
      </c>
      <c r="L390" s="7">
        <v>846721</v>
      </c>
      <c r="M390" s="7">
        <v>3</v>
      </c>
      <c r="N390" s="8">
        <f t="shared" si="180"/>
        <v>6.807987814167832</v>
      </c>
      <c r="O390" s="8">
        <f>F390+J390+N390</f>
        <v>47.7383581845382</v>
      </c>
      <c r="P390" s="8">
        <f>O390*0.302</f>
        <v>14.416984171730537</v>
      </c>
      <c r="Q390" s="58">
        <f>(O390)*102%</f>
        <v>48.69312534822897</v>
      </c>
      <c r="R390" s="78">
        <f t="shared" si="196"/>
        <v>112.81561764705883</v>
      </c>
      <c r="S390" s="78">
        <v>112.82</v>
      </c>
      <c r="T390" s="21">
        <f t="shared" si="193"/>
        <v>135.384</v>
      </c>
      <c r="U390" s="9">
        <f t="shared" si="192"/>
        <v>253.0404555186655</v>
      </c>
      <c r="V390" s="8">
        <f t="shared" si="185"/>
        <v>63.26011387966638</v>
      </c>
      <c r="W390" s="52">
        <f t="shared" si="189"/>
        <v>316.3005693983319</v>
      </c>
      <c r="X390" s="20"/>
      <c r="Y390" s="4">
        <v>351</v>
      </c>
      <c r="Z390" s="4">
        <v>366</v>
      </c>
      <c r="AA390" s="14">
        <f t="shared" si="195"/>
        <v>-27.908702131434325</v>
      </c>
      <c r="AB390" s="5"/>
      <c r="AD390" s="5"/>
      <c r="AE390" s="5"/>
    </row>
    <row r="391" spans="1:31" ht="15">
      <c r="A391" s="43" t="s">
        <v>928</v>
      </c>
      <c r="B391" s="31" t="s">
        <v>891</v>
      </c>
      <c r="C391" s="7">
        <v>572624</v>
      </c>
      <c r="D391" s="7">
        <v>1800</v>
      </c>
      <c r="E391" s="7">
        <v>5</v>
      </c>
      <c r="F391" s="8">
        <f t="shared" si="183"/>
        <v>26.51037037037037</v>
      </c>
      <c r="G391" s="37">
        <v>389340</v>
      </c>
      <c r="H391" s="7">
        <v>1800</v>
      </c>
      <c r="I391" s="7">
        <v>4</v>
      </c>
      <c r="J391" s="8">
        <f t="shared" si="184"/>
        <v>14.42</v>
      </c>
      <c r="K391" s="7">
        <f aca="true" t="shared" si="197" ref="K391:K402">3488.75+18000+1900000</f>
        <v>1921488.75</v>
      </c>
      <c r="L391" s="7">
        <v>846721</v>
      </c>
      <c r="M391" s="7">
        <v>3</v>
      </c>
      <c r="N391" s="8">
        <f t="shared" si="180"/>
        <v>6.807987814167832</v>
      </c>
      <c r="O391" s="8">
        <f aca="true" t="shared" si="198" ref="O391:O415">F391+J391+N391</f>
        <v>47.7383581845382</v>
      </c>
      <c r="P391" s="8">
        <f aca="true" t="shared" si="199" ref="P391:P402">O391*0.302</f>
        <v>14.416984171730537</v>
      </c>
      <c r="Q391" s="58">
        <f aca="true" t="shared" si="200" ref="Q391:Q402">(O391)*102%</f>
        <v>48.69312534822897</v>
      </c>
      <c r="R391" s="78">
        <f t="shared" si="196"/>
        <v>112.81561764705883</v>
      </c>
      <c r="S391" s="78">
        <v>112.82</v>
      </c>
      <c r="T391" s="21">
        <f t="shared" si="193"/>
        <v>135.384</v>
      </c>
      <c r="U391" s="9">
        <f t="shared" si="192"/>
        <v>253.0404555186655</v>
      </c>
      <c r="V391" s="8">
        <f t="shared" si="185"/>
        <v>63.26011387966638</v>
      </c>
      <c r="W391" s="52">
        <f t="shared" si="189"/>
        <v>316.3005693983319</v>
      </c>
      <c r="X391" s="20"/>
      <c r="Y391" s="4">
        <v>351</v>
      </c>
      <c r="Z391" s="4">
        <v>366</v>
      </c>
      <c r="AA391" s="14">
        <f t="shared" si="195"/>
        <v>-27.908702131434325</v>
      </c>
      <c r="AB391" s="5"/>
      <c r="AD391" s="5"/>
      <c r="AE391" s="5"/>
    </row>
    <row r="392" spans="1:31" ht="15">
      <c r="A392" s="43" t="s">
        <v>929</v>
      </c>
      <c r="B392" s="31" t="s">
        <v>890</v>
      </c>
      <c r="C392" s="7">
        <v>572624</v>
      </c>
      <c r="D392" s="7">
        <v>1800</v>
      </c>
      <c r="E392" s="7">
        <v>5</v>
      </c>
      <c r="F392" s="8">
        <f t="shared" si="183"/>
        <v>26.51037037037037</v>
      </c>
      <c r="G392" s="37">
        <v>389340</v>
      </c>
      <c r="H392" s="7">
        <v>1800</v>
      </c>
      <c r="I392" s="7">
        <v>2</v>
      </c>
      <c r="J392" s="8">
        <f t="shared" si="184"/>
        <v>7.21</v>
      </c>
      <c r="K392" s="7">
        <f t="shared" si="197"/>
        <v>1921488.75</v>
      </c>
      <c r="L392" s="7">
        <v>846721</v>
      </c>
      <c r="M392" s="7">
        <v>2</v>
      </c>
      <c r="N392" s="8">
        <f t="shared" si="180"/>
        <v>4.538658542778554</v>
      </c>
      <c r="O392" s="8">
        <f t="shared" si="198"/>
        <v>38.259028913148924</v>
      </c>
      <c r="P392" s="8">
        <f t="shared" si="199"/>
        <v>11.554226731770974</v>
      </c>
      <c r="Q392" s="58">
        <f t="shared" si="200"/>
        <v>39.0242094914119</v>
      </c>
      <c r="R392" s="78">
        <f t="shared" si="196"/>
        <v>112.81561764705883</v>
      </c>
      <c r="S392" s="78">
        <v>112.82</v>
      </c>
      <c r="T392" s="21">
        <f t="shared" si="193"/>
        <v>135.384</v>
      </c>
      <c r="U392" s="9">
        <f t="shared" si="192"/>
        <v>228.76012367911034</v>
      </c>
      <c r="V392" s="8">
        <f t="shared" si="185"/>
        <v>57.190030919777584</v>
      </c>
      <c r="W392" s="52">
        <f>U392+V392</f>
        <v>285.95015459888793</v>
      </c>
      <c r="X392" s="20"/>
      <c r="Y392" s="4">
        <v>351</v>
      </c>
      <c r="Z392" s="4">
        <v>366</v>
      </c>
      <c r="AA392" s="14">
        <f t="shared" si="195"/>
        <v>-34.826175589997064</v>
      </c>
      <c r="AB392" s="5"/>
      <c r="AD392" s="5"/>
      <c r="AE392" s="5"/>
    </row>
    <row r="393" spans="1:31" ht="15">
      <c r="A393" s="43" t="s">
        <v>812</v>
      </c>
      <c r="B393" s="31" t="s">
        <v>904</v>
      </c>
      <c r="C393" s="7">
        <v>572624</v>
      </c>
      <c r="D393" s="7">
        <v>1800</v>
      </c>
      <c r="E393" s="7">
        <v>3</v>
      </c>
      <c r="F393" s="8">
        <f t="shared" si="183"/>
        <v>15.906222222222222</v>
      </c>
      <c r="G393" s="37">
        <v>389340</v>
      </c>
      <c r="H393" s="7">
        <v>1800</v>
      </c>
      <c r="I393" s="7">
        <v>3</v>
      </c>
      <c r="J393" s="8">
        <f t="shared" si="184"/>
        <v>10.815</v>
      </c>
      <c r="K393" s="7">
        <f t="shared" si="197"/>
        <v>1921488.75</v>
      </c>
      <c r="L393" s="7">
        <v>846721</v>
      </c>
      <c r="M393" s="7">
        <v>2</v>
      </c>
      <c r="N393" s="8">
        <f t="shared" si="180"/>
        <v>4.538658542778554</v>
      </c>
      <c r="O393" s="8">
        <f t="shared" si="198"/>
        <v>31.25988076500078</v>
      </c>
      <c r="P393" s="8">
        <f t="shared" si="199"/>
        <v>9.440483991030236</v>
      </c>
      <c r="Q393" s="58">
        <f t="shared" si="200"/>
        <v>31.885078380300797</v>
      </c>
      <c r="R393" s="78">
        <f>6.1/17+3600/34+1.52+9.36*4/17+9.35*18/17+6.5*7/17+15.8/17+22.2*3/17+0.9+116.22/40+0.64/40+0.8/17+2.14*3/17+0.3</f>
        <v>131.93326470588232</v>
      </c>
      <c r="S393" s="78">
        <v>131.93</v>
      </c>
      <c r="T393" s="21">
        <f t="shared" si="193"/>
        <v>158.316</v>
      </c>
      <c r="U393" s="9">
        <f t="shared" si="192"/>
        <v>235.44010167911037</v>
      </c>
      <c r="V393" s="8">
        <f t="shared" si="185"/>
        <v>58.86002541977759</v>
      </c>
      <c r="W393" s="52">
        <f aca="true" t="shared" si="201" ref="W393:W409">U393+V393</f>
        <v>294.30012709888797</v>
      </c>
      <c r="X393" s="20"/>
      <c r="Y393" s="4">
        <v>351</v>
      </c>
      <c r="Z393" s="4">
        <v>366</v>
      </c>
      <c r="AA393" s="14">
        <f t="shared" si="195"/>
        <v>-32.923047954669414</v>
      </c>
      <c r="AB393" s="5"/>
      <c r="AD393" s="5"/>
      <c r="AE393" s="5"/>
    </row>
    <row r="394" spans="1:31" ht="34.5" customHeight="1">
      <c r="A394" s="43" t="s">
        <v>813</v>
      </c>
      <c r="B394" s="31" t="s">
        <v>892</v>
      </c>
      <c r="C394" s="7">
        <v>572624</v>
      </c>
      <c r="D394" s="7">
        <v>1800</v>
      </c>
      <c r="E394" s="7">
        <v>9</v>
      </c>
      <c r="F394" s="8">
        <f t="shared" si="183"/>
        <v>47.718666666666664</v>
      </c>
      <c r="G394" s="37">
        <v>389340</v>
      </c>
      <c r="H394" s="7">
        <v>1800</v>
      </c>
      <c r="I394" s="7">
        <v>9</v>
      </c>
      <c r="J394" s="8">
        <f t="shared" si="184"/>
        <v>32.445</v>
      </c>
      <c r="K394" s="7">
        <f t="shared" si="197"/>
        <v>1921488.75</v>
      </c>
      <c r="L394" s="7">
        <v>846721</v>
      </c>
      <c r="M394" s="7">
        <v>9</v>
      </c>
      <c r="N394" s="8">
        <f t="shared" si="180"/>
        <v>20.423963442503496</v>
      </c>
      <c r="O394" s="8">
        <f t="shared" si="198"/>
        <v>100.58763010917016</v>
      </c>
      <c r="P394" s="8">
        <f t="shared" si="199"/>
        <v>30.37746429296939</v>
      </c>
      <c r="Q394" s="58">
        <f t="shared" si="200"/>
        <v>102.59938271135357</v>
      </c>
      <c r="R394" s="78">
        <f>6.1/17+4600/15+1.52+9.36*4/17+9.35*18/17+6.5*7/17+15.8/17+22.2*3/17+0.9+116.22/40+0.64/40+0.8/17+2.14*3/17+0.3</f>
        <v>332.7175784313726</v>
      </c>
      <c r="S394" s="78">
        <v>332.72</v>
      </c>
      <c r="T394" s="21">
        <f t="shared" si="193"/>
        <v>399.264</v>
      </c>
      <c r="U394" s="9">
        <f t="shared" si="192"/>
        <v>653.2524405559966</v>
      </c>
      <c r="V394" s="8">
        <f t="shared" si="185"/>
        <v>163.31311013899915</v>
      </c>
      <c r="W394" s="52">
        <f t="shared" si="201"/>
        <v>816.5655506949957</v>
      </c>
      <c r="X394" s="20"/>
      <c r="Y394" s="4">
        <v>351</v>
      </c>
      <c r="Z394" s="4">
        <v>366</v>
      </c>
      <c r="AA394" s="14">
        <f t="shared" si="195"/>
        <v>86.11180642620985</v>
      </c>
      <c r="AB394" s="5"/>
      <c r="AD394" s="5"/>
      <c r="AE394" s="5"/>
    </row>
    <row r="395" spans="1:31" ht="34.5" customHeight="1">
      <c r="A395" s="43" t="s">
        <v>814</v>
      </c>
      <c r="B395" s="31" t="s">
        <v>919</v>
      </c>
      <c r="C395" s="7">
        <v>572624</v>
      </c>
      <c r="D395" s="7">
        <v>1800</v>
      </c>
      <c r="E395" s="7">
        <v>4</v>
      </c>
      <c r="F395" s="8">
        <f t="shared" si="183"/>
        <v>21.208296296296297</v>
      </c>
      <c r="G395" s="37">
        <v>389340</v>
      </c>
      <c r="H395" s="7">
        <v>1800</v>
      </c>
      <c r="I395" s="7">
        <v>2</v>
      </c>
      <c r="J395" s="8">
        <f t="shared" si="184"/>
        <v>7.21</v>
      </c>
      <c r="K395" s="7">
        <f t="shared" si="197"/>
        <v>1921488.75</v>
      </c>
      <c r="L395" s="7">
        <v>846721</v>
      </c>
      <c r="M395" s="7">
        <v>2</v>
      </c>
      <c r="N395" s="8">
        <f t="shared" si="180"/>
        <v>4.538658542778554</v>
      </c>
      <c r="O395" s="8">
        <f t="shared" si="198"/>
        <v>32.956954839074854</v>
      </c>
      <c r="P395" s="8">
        <f t="shared" si="199"/>
        <v>9.953000361400605</v>
      </c>
      <c r="Q395" s="58">
        <f t="shared" si="200"/>
        <v>33.61609393585635</v>
      </c>
      <c r="R395" s="78">
        <f>6.1/17+4200/34+1.52+9.36*4/17+9.35*18/17+6.5*7/17+15.8/17+22.2*3/17+0.9+116.22/40+0.64/40+0.8/17+2.14*3/17+0.3</f>
        <v>149.58032352941177</v>
      </c>
      <c r="S395" s="78">
        <v>149.58</v>
      </c>
      <c r="T395" s="21">
        <f t="shared" si="193"/>
        <v>179.496</v>
      </c>
      <c r="U395" s="9">
        <f t="shared" si="192"/>
        <v>260.56070767911035</v>
      </c>
      <c r="V395" s="8">
        <f t="shared" si="185"/>
        <v>65.14017691977759</v>
      </c>
      <c r="W395" s="52">
        <f t="shared" si="201"/>
        <v>325.7008845988879</v>
      </c>
      <c r="X395" s="20"/>
      <c r="Y395" s="4">
        <v>351</v>
      </c>
      <c r="Z395" s="4">
        <v>366</v>
      </c>
      <c r="AA395" s="14">
        <f t="shared" si="195"/>
        <v>-25.766180148401617</v>
      </c>
      <c r="AB395" s="5"/>
      <c r="AD395" s="5"/>
      <c r="AE395" s="5"/>
    </row>
    <row r="396" spans="1:31" ht="15">
      <c r="A396" s="43" t="s">
        <v>815</v>
      </c>
      <c r="B396" s="31" t="s">
        <v>910</v>
      </c>
      <c r="C396" s="7">
        <v>572624</v>
      </c>
      <c r="D396" s="7">
        <v>1800</v>
      </c>
      <c r="E396" s="7">
        <v>4</v>
      </c>
      <c r="F396" s="8">
        <f t="shared" si="183"/>
        <v>21.208296296296297</v>
      </c>
      <c r="G396" s="37">
        <v>389340</v>
      </c>
      <c r="H396" s="7">
        <v>1800</v>
      </c>
      <c r="I396" s="7">
        <v>3</v>
      </c>
      <c r="J396" s="8">
        <f t="shared" si="184"/>
        <v>10.815</v>
      </c>
      <c r="K396" s="7">
        <f t="shared" si="197"/>
        <v>1921488.75</v>
      </c>
      <c r="L396" s="7">
        <v>846721</v>
      </c>
      <c r="M396" s="7">
        <v>3</v>
      </c>
      <c r="N396" s="8">
        <f t="shared" si="180"/>
        <v>6.807987814167832</v>
      </c>
      <c r="O396" s="8">
        <f t="shared" si="198"/>
        <v>38.831284110464125</v>
      </c>
      <c r="P396" s="8">
        <f t="shared" si="199"/>
        <v>11.727047801360165</v>
      </c>
      <c r="Q396" s="58">
        <f t="shared" si="200"/>
        <v>39.60790979267341</v>
      </c>
      <c r="R396" s="78">
        <f>6.1/17+2950/34+1.52+9.36*4/17+9.35*18/17+6.5*7/17+15.8/17+22.2*3/17+0.9+116.22/40+0.64/40+0.8/17+2.14*3/17+0.3</f>
        <v>112.81561764705883</v>
      </c>
      <c r="S396" s="78">
        <v>112.82</v>
      </c>
      <c r="T396" s="21">
        <f t="shared" si="193"/>
        <v>135.384</v>
      </c>
      <c r="U396" s="9">
        <f t="shared" si="192"/>
        <v>232.35822951866552</v>
      </c>
      <c r="V396" s="8">
        <f t="shared" si="185"/>
        <v>58.08955737966638</v>
      </c>
      <c r="W396" s="52">
        <f t="shared" si="201"/>
        <v>290.4477868983319</v>
      </c>
      <c r="X396" s="20"/>
      <c r="Y396" s="4">
        <v>351</v>
      </c>
      <c r="Z396" s="4">
        <v>366</v>
      </c>
      <c r="AA396" s="14">
        <f t="shared" si="195"/>
        <v>-33.8010742112064</v>
      </c>
      <c r="AB396" s="5"/>
      <c r="AD396" s="5"/>
      <c r="AE396" s="5"/>
    </row>
    <row r="397" spans="1:31" ht="15">
      <c r="A397" s="43" t="s">
        <v>816</v>
      </c>
      <c r="B397" s="31" t="s">
        <v>905</v>
      </c>
      <c r="C397" s="7">
        <v>572624</v>
      </c>
      <c r="D397" s="7">
        <v>1800</v>
      </c>
      <c r="E397" s="7">
        <v>4</v>
      </c>
      <c r="F397" s="8">
        <f t="shared" si="183"/>
        <v>21.208296296296297</v>
      </c>
      <c r="G397" s="37">
        <v>389340</v>
      </c>
      <c r="H397" s="7">
        <v>1800</v>
      </c>
      <c r="I397" s="7">
        <v>2</v>
      </c>
      <c r="J397" s="8">
        <f t="shared" si="184"/>
        <v>7.21</v>
      </c>
      <c r="K397" s="7">
        <f t="shared" si="197"/>
        <v>1921488.75</v>
      </c>
      <c r="L397" s="7">
        <v>846721</v>
      </c>
      <c r="M397" s="7">
        <v>3</v>
      </c>
      <c r="N397" s="8">
        <f t="shared" si="180"/>
        <v>6.807987814167832</v>
      </c>
      <c r="O397" s="8">
        <f t="shared" si="198"/>
        <v>35.22628411046413</v>
      </c>
      <c r="P397" s="8">
        <f t="shared" si="199"/>
        <v>10.638337801360166</v>
      </c>
      <c r="Q397" s="58">
        <f t="shared" si="200"/>
        <v>35.930809792673415</v>
      </c>
      <c r="R397" s="78">
        <f>6.1/17+2950/34+1.52+9.36*4/17+9.35*18/17+6.5*7/17+15.8/17+22.2*3/17+0.9+116.22/40+0.64/40+0.8/17+2.14*3/17+0.3</f>
        <v>112.81561764705883</v>
      </c>
      <c r="S397" s="78">
        <v>112.82</v>
      </c>
      <c r="T397" s="21">
        <f t="shared" si="193"/>
        <v>135.384</v>
      </c>
      <c r="U397" s="9">
        <f t="shared" si="192"/>
        <v>223.98741951866552</v>
      </c>
      <c r="V397" s="8">
        <f t="shared" si="185"/>
        <v>55.99685487966638</v>
      </c>
      <c r="W397" s="52">
        <f t="shared" si="201"/>
        <v>279.9842743983319</v>
      </c>
      <c r="X397" s="20"/>
      <c r="Y397" s="4">
        <v>351</v>
      </c>
      <c r="Z397" s="4">
        <v>366</v>
      </c>
      <c r="AA397" s="14">
        <f t="shared" si="195"/>
        <v>-36.18592036505256</v>
      </c>
      <c r="AB397" s="5"/>
      <c r="AD397" s="5"/>
      <c r="AE397" s="5"/>
    </row>
    <row r="398" spans="1:31" ht="15">
      <c r="A398" s="43" t="s">
        <v>817</v>
      </c>
      <c r="B398" s="31" t="s">
        <v>906</v>
      </c>
      <c r="C398" s="7">
        <v>572624</v>
      </c>
      <c r="D398" s="7">
        <v>1800</v>
      </c>
      <c r="E398" s="7">
        <v>4</v>
      </c>
      <c r="F398" s="8">
        <f t="shared" si="183"/>
        <v>21.208296296296297</v>
      </c>
      <c r="G398" s="37">
        <v>389340</v>
      </c>
      <c r="H398" s="7">
        <v>1800</v>
      </c>
      <c r="I398" s="7">
        <v>3</v>
      </c>
      <c r="J398" s="8">
        <f t="shared" si="184"/>
        <v>10.815</v>
      </c>
      <c r="K398" s="7">
        <f t="shared" si="197"/>
        <v>1921488.75</v>
      </c>
      <c r="L398" s="7">
        <v>846721</v>
      </c>
      <c r="M398" s="7">
        <v>2</v>
      </c>
      <c r="N398" s="8">
        <f t="shared" si="180"/>
        <v>4.538658542778554</v>
      </c>
      <c r="O398" s="8">
        <f t="shared" si="198"/>
        <v>36.56195483907485</v>
      </c>
      <c r="P398" s="8">
        <f t="shared" si="199"/>
        <v>11.041710361400604</v>
      </c>
      <c r="Q398" s="58">
        <f t="shared" si="200"/>
        <v>37.29319393585635</v>
      </c>
      <c r="R398" s="78">
        <f>6.1/17+2950/34+1.52+9.36*4/17+9.35*18/17+6.5*7/17+15.8/17+22.2*3/17+0.9+116.22/40+0.64/40+0.8/17+2.14*3/17+0.3</f>
        <v>112.81561764705883</v>
      </c>
      <c r="S398" s="78">
        <v>112.82</v>
      </c>
      <c r="T398" s="21">
        <f t="shared" si="193"/>
        <v>135.384</v>
      </c>
      <c r="U398" s="9">
        <f t="shared" si="192"/>
        <v>224.81951767911033</v>
      </c>
      <c r="V398" s="8">
        <f t="shared" si="185"/>
        <v>56.20487941977758</v>
      </c>
      <c r="W398" s="52">
        <f t="shared" si="201"/>
        <v>281.0243970988879</v>
      </c>
      <c r="X398" s="20"/>
      <c r="Y398" s="4">
        <v>351</v>
      </c>
      <c r="Z398" s="4">
        <v>366</v>
      </c>
      <c r="AA398" s="14">
        <f t="shared" si="195"/>
        <v>-35.94885536207683</v>
      </c>
      <c r="AB398" s="5"/>
      <c r="AD398" s="5"/>
      <c r="AE398" s="5"/>
    </row>
    <row r="399" spans="1:31" ht="15">
      <c r="A399" s="43" t="s">
        <v>818</v>
      </c>
      <c r="B399" s="31" t="s">
        <v>911</v>
      </c>
      <c r="C399" s="7">
        <v>572624</v>
      </c>
      <c r="D399" s="7">
        <v>1800</v>
      </c>
      <c r="E399" s="7">
        <v>5</v>
      </c>
      <c r="F399" s="8">
        <f t="shared" si="183"/>
        <v>26.51037037037037</v>
      </c>
      <c r="G399" s="37">
        <v>389340</v>
      </c>
      <c r="H399" s="7">
        <v>1800</v>
      </c>
      <c r="I399" s="7">
        <v>2</v>
      </c>
      <c r="J399" s="8">
        <f t="shared" si="184"/>
        <v>7.21</v>
      </c>
      <c r="K399" s="7">
        <f t="shared" si="197"/>
        <v>1921488.75</v>
      </c>
      <c r="L399" s="7">
        <v>846721</v>
      </c>
      <c r="M399" s="7">
        <v>2</v>
      </c>
      <c r="N399" s="8">
        <f t="shared" si="180"/>
        <v>4.538658542778554</v>
      </c>
      <c r="O399" s="8">
        <f t="shared" si="198"/>
        <v>38.259028913148924</v>
      </c>
      <c r="P399" s="8">
        <f t="shared" si="199"/>
        <v>11.554226731770974</v>
      </c>
      <c r="Q399" s="58">
        <f t="shared" si="200"/>
        <v>39.0242094914119</v>
      </c>
      <c r="R399" s="78">
        <f>6.1/17+2950/34+1.52+9.36*4/17+9.35*18/17+6.5*7/17+15.8/17+22.2*3/17+0.9+116.22/40+0.64/40+0.8/17+2.14*3/17+0.3</f>
        <v>112.81561764705883</v>
      </c>
      <c r="S399" s="78">
        <v>112.82</v>
      </c>
      <c r="T399" s="21">
        <f t="shared" si="193"/>
        <v>135.384</v>
      </c>
      <c r="U399" s="9">
        <f t="shared" si="192"/>
        <v>228.76012367911034</v>
      </c>
      <c r="V399" s="8">
        <f t="shared" si="185"/>
        <v>57.190030919777584</v>
      </c>
      <c r="W399" s="52">
        <f t="shared" si="201"/>
        <v>285.95015459888793</v>
      </c>
      <c r="X399" s="20"/>
      <c r="Y399" s="4">
        <v>351</v>
      </c>
      <c r="Z399" s="4">
        <v>366</v>
      </c>
      <c r="AA399" s="14">
        <f t="shared" si="195"/>
        <v>-34.826175589997064</v>
      </c>
      <c r="AB399" s="5"/>
      <c r="AD399" s="5"/>
      <c r="AE399" s="5"/>
    </row>
    <row r="400" spans="1:31" ht="15">
      <c r="A400" s="43" t="s">
        <v>819</v>
      </c>
      <c r="B400" s="31" t="s">
        <v>912</v>
      </c>
      <c r="C400" s="7">
        <v>572624</v>
      </c>
      <c r="D400" s="7">
        <v>1800</v>
      </c>
      <c r="E400" s="7">
        <v>2</v>
      </c>
      <c r="F400" s="8">
        <f t="shared" si="183"/>
        <v>10.604148148148148</v>
      </c>
      <c r="G400" s="37">
        <v>389340</v>
      </c>
      <c r="H400" s="7">
        <v>1800</v>
      </c>
      <c r="I400" s="7">
        <v>2</v>
      </c>
      <c r="J400" s="8">
        <f t="shared" si="184"/>
        <v>7.21</v>
      </c>
      <c r="K400" s="7">
        <f t="shared" si="197"/>
        <v>1921488.75</v>
      </c>
      <c r="L400" s="7">
        <v>846721</v>
      </c>
      <c r="M400" s="7">
        <v>2</v>
      </c>
      <c r="N400" s="8">
        <f t="shared" si="180"/>
        <v>4.538658542778554</v>
      </c>
      <c r="O400" s="8">
        <f t="shared" si="198"/>
        <v>22.352806690926705</v>
      </c>
      <c r="P400" s="8">
        <f t="shared" si="199"/>
        <v>6.750547620659865</v>
      </c>
      <c r="Q400" s="58">
        <f t="shared" si="200"/>
        <v>22.79986282474524</v>
      </c>
      <c r="R400" s="78">
        <f>6.1/17+5500/34+1.52+9.36*4/17+9.35*18/17+6.5*7/17+15.8/17+22.2*3/17+0.9+116.22/40+0.64/40+0.8/17+2.14*3/17+0.3</f>
        <v>187.81561764705882</v>
      </c>
      <c r="S400" s="78">
        <v>187.82</v>
      </c>
      <c r="T400" s="21">
        <f t="shared" si="193"/>
        <v>225.384</v>
      </c>
      <c r="U400" s="9">
        <f t="shared" si="192"/>
        <v>281.82587567911037</v>
      </c>
      <c r="V400" s="8">
        <f t="shared" si="185"/>
        <v>70.45646891977759</v>
      </c>
      <c r="W400" s="52">
        <f t="shared" si="201"/>
        <v>352.28234459888796</v>
      </c>
      <c r="X400" s="20"/>
      <c r="Y400" s="4">
        <v>351</v>
      </c>
      <c r="Z400" s="4">
        <v>366</v>
      </c>
      <c r="AA400" s="14">
        <f t="shared" si="195"/>
        <v>-19.707727726749184</v>
      </c>
      <c r="AB400" s="5"/>
      <c r="AD400" s="5"/>
      <c r="AE400" s="5"/>
    </row>
    <row r="401" spans="1:31" ht="15">
      <c r="A401" s="43" t="s">
        <v>820</v>
      </c>
      <c r="B401" s="31" t="s">
        <v>913</v>
      </c>
      <c r="C401" s="7">
        <v>572624</v>
      </c>
      <c r="D401" s="7">
        <v>1800</v>
      </c>
      <c r="E401" s="7">
        <v>2</v>
      </c>
      <c r="F401" s="8">
        <f t="shared" si="183"/>
        <v>10.604148148148148</v>
      </c>
      <c r="G401" s="37">
        <v>389340</v>
      </c>
      <c r="H401" s="7">
        <v>1800</v>
      </c>
      <c r="I401" s="7">
        <v>2</v>
      </c>
      <c r="J401" s="8">
        <f t="shared" si="184"/>
        <v>7.21</v>
      </c>
      <c r="K401" s="7">
        <f t="shared" si="197"/>
        <v>1921488.75</v>
      </c>
      <c r="L401" s="7">
        <v>846721</v>
      </c>
      <c r="M401" s="7">
        <v>1</v>
      </c>
      <c r="N401" s="8">
        <f t="shared" si="180"/>
        <v>2.269329271389277</v>
      </c>
      <c r="O401" s="8">
        <f t="shared" si="198"/>
        <v>20.083477419537427</v>
      </c>
      <c r="P401" s="8">
        <f t="shared" si="199"/>
        <v>6.065210180700303</v>
      </c>
      <c r="Q401" s="58">
        <f t="shared" si="200"/>
        <v>20.485146967928177</v>
      </c>
      <c r="R401" s="78">
        <f>6.1/17+5700/34+1.52+9.36*4/17+9.35*18/17+6.5*7/17+15.8/17+22.2*3/17+0.9+116.22/40+0.64/40+0.8/17+2.14*3/17+0.3</f>
        <v>193.6979705882353</v>
      </c>
      <c r="S401" s="78">
        <v>193.7</v>
      </c>
      <c r="T401" s="21">
        <f t="shared" si="193"/>
        <v>232.43999999999997</v>
      </c>
      <c r="U401" s="9">
        <f t="shared" si="192"/>
        <v>281.34316383955513</v>
      </c>
      <c r="V401" s="8">
        <f t="shared" si="185"/>
        <v>70.33579095988878</v>
      </c>
      <c r="W401" s="52">
        <f t="shared" si="201"/>
        <v>351.6789547994439</v>
      </c>
      <c r="X401" s="20"/>
      <c r="Y401" s="4">
        <v>351</v>
      </c>
      <c r="Z401" s="4">
        <v>366</v>
      </c>
      <c r="AA401" s="14">
        <f t="shared" si="195"/>
        <v>-19.84525246736321</v>
      </c>
      <c r="AB401" s="5"/>
      <c r="AD401" s="5"/>
      <c r="AE401" s="5"/>
    </row>
    <row r="402" spans="1:31" ht="15">
      <c r="A402" s="43" t="s">
        <v>821</v>
      </c>
      <c r="B402" s="31" t="s">
        <v>907</v>
      </c>
      <c r="C402" s="7">
        <v>572624</v>
      </c>
      <c r="D402" s="7">
        <v>1800</v>
      </c>
      <c r="E402" s="7">
        <v>2</v>
      </c>
      <c r="F402" s="8">
        <f t="shared" si="183"/>
        <v>10.604148148148148</v>
      </c>
      <c r="G402" s="37">
        <v>389340</v>
      </c>
      <c r="H402" s="7">
        <v>1800</v>
      </c>
      <c r="I402" s="7">
        <v>1</v>
      </c>
      <c r="J402" s="8">
        <f t="shared" si="184"/>
        <v>3.605</v>
      </c>
      <c r="K402" s="7">
        <f t="shared" si="197"/>
        <v>1921488.75</v>
      </c>
      <c r="L402" s="7">
        <v>846721</v>
      </c>
      <c r="M402" s="7">
        <v>1</v>
      </c>
      <c r="N402" s="8">
        <f t="shared" si="180"/>
        <v>2.269329271389277</v>
      </c>
      <c r="O402" s="8">
        <f t="shared" si="198"/>
        <v>16.478477419537427</v>
      </c>
      <c r="P402" s="8">
        <f t="shared" si="199"/>
        <v>4.976500180700302</v>
      </c>
      <c r="Q402" s="58">
        <f t="shared" si="200"/>
        <v>16.808046967928174</v>
      </c>
      <c r="R402" s="78">
        <f>6.1/17+30800/45+1.52+9.36*4/17+9.35*18/17+6.5*7/17+15.8/17+22.2*3/17+0.9+116.22/40+0.64/40+0.8/17+2.14*3/17+0.3</f>
        <v>710.49535620915</v>
      </c>
      <c r="S402" s="78">
        <v>710.5</v>
      </c>
      <c r="T402" s="21">
        <f t="shared" si="193"/>
        <v>852.6</v>
      </c>
      <c r="U402" s="9">
        <f t="shared" si="192"/>
        <v>893.1323538395552</v>
      </c>
      <c r="V402" s="8">
        <f t="shared" si="185"/>
        <v>223.2830884598888</v>
      </c>
      <c r="W402" s="52">
        <f t="shared" si="201"/>
        <v>1116.415442299444</v>
      </c>
      <c r="X402" s="20"/>
      <c r="Y402" s="4">
        <v>351</v>
      </c>
      <c r="Z402" s="4">
        <v>366</v>
      </c>
      <c r="AA402" s="14">
        <f t="shared" si="195"/>
        <v>154.45366206255133</v>
      </c>
      <c r="AB402" s="5"/>
      <c r="AD402" s="5"/>
      <c r="AE402" s="5"/>
    </row>
    <row r="403" spans="1:31" ht="16.5" customHeight="1">
      <c r="A403" s="43" t="s">
        <v>822</v>
      </c>
      <c r="B403" s="31" t="s">
        <v>914</v>
      </c>
      <c r="C403" s="7">
        <v>572624</v>
      </c>
      <c r="D403" s="7">
        <v>1800</v>
      </c>
      <c r="E403" s="7">
        <v>5</v>
      </c>
      <c r="F403" s="8">
        <f t="shared" si="183"/>
        <v>26.51037037037037</v>
      </c>
      <c r="G403" s="37">
        <v>389340</v>
      </c>
      <c r="H403" s="7">
        <v>1800</v>
      </c>
      <c r="I403" s="7">
        <v>3</v>
      </c>
      <c r="J403" s="8">
        <f t="shared" si="184"/>
        <v>10.815</v>
      </c>
      <c r="K403" s="7">
        <f>3488.75+18000+1900000</f>
        <v>1921488.75</v>
      </c>
      <c r="L403" s="7">
        <v>846721</v>
      </c>
      <c r="M403" s="7">
        <v>3</v>
      </c>
      <c r="N403" s="8">
        <f t="shared" si="180"/>
        <v>6.807987814167832</v>
      </c>
      <c r="O403" s="8">
        <f t="shared" si="198"/>
        <v>44.1333581845382</v>
      </c>
      <c r="P403" s="8">
        <f>O403*0.302</f>
        <v>13.328274171730536</v>
      </c>
      <c r="Q403" s="58">
        <f>(O403)*102%</f>
        <v>45.016025348228965</v>
      </c>
      <c r="R403" s="78">
        <f>6.1/17+2950/34+1.52+9.36*4/17+9.35*18/17+6.5*7/17+15.8/17+22.2*3/17+0.9+116.22/40+0.64/40+0.8/17+2.14*3/17+0.3</f>
        <v>112.81561764705883</v>
      </c>
      <c r="S403" s="78">
        <v>112.82</v>
      </c>
      <c r="T403" s="21">
        <f t="shared" si="193"/>
        <v>135.384</v>
      </c>
      <c r="U403" s="9">
        <f t="shared" si="192"/>
        <v>244.6696455186655</v>
      </c>
      <c r="V403" s="8">
        <f t="shared" si="185"/>
        <v>61.167411379666376</v>
      </c>
      <c r="W403" s="52">
        <f t="shared" si="201"/>
        <v>305.83705689833187</v>
      </c>
      <c r="X403" s="20"/>
      <c r="Y403" s="4">
        <v>351</v>
      </c>
      <c r="Z403" s="4">
        <v>366</v>
      </c>
      <c r="AA403" s="14">
        <f t="shared" si="195"/>
        <v>-30.29354828528048</v>
      </c>
      <c r="AB403" s="5"/>
      <c r="AD403" s="5"/>
      <c r="AE403" s="5"/>
    </row>
    <row r="404" spans="1:31" ht="15">
      <c r="A404" s="43" t="s">
        <v>823</v>
      </c>
      <c r="B404" s="31" t="s">
        <v>915</v>
      </c>
      <c r="C404" s="7">
        <v>572624</v>
      </c>
      <c r="D404" s="7">
        <v>1800</v>
      </c>
      <c r="E404" s="7">
        <v>8</v>
      </c>
      <c r="F404" s="8">
        <f t="shared" si="183"/>
        <v>42.41659259259259</v>
      </c>
      <c r="G404" s="37">
        <v>389340</v>
      </c>
      <c r="H404" s="7">
        <v>1800</v>
      </c>
      <c r="I404" s="7">
        <v>7</v>
      </c>
      <c r="J404" s="8">
        <f t="shared" si="184"/>
        <v>25.235</v>
      </c>
      <c r="K404" s="7">
        <f aca="true" t="shared" si="202" ref="K404:K415">3488.75+18000+1900000</f>
        <v>1921488.75</v>
      </c>
      <c r="L404" s="7">
        <v>846721</v>
      </c>
      <c r="M404" s="7">
        <v>7</v>
      </c>
      <c r="N404" s="8">
        <f t="shared" si="180"/>
        <v>15.88530489972494</v>
      </c>
      <c r="O404" s="8">
        <f t="shared" si="198"/>
        <v>83.53689749231754</v>
      </c>
      <c r="P404" s="8">
        <f aca="true" t="shared" si="203" ref="P404:P415">O404*0.302</f>
        <v>25.228143042679896</v>
      </c>
      <c r="Q404" s="58">
        <f aca="true" t="shared" si="204" ref="Q404:Q415">(O404)*102%</f>
        <v>85.20763544216389</v>
      </c>
      <c r="R404" s="78">
        <f>6.1/17+2950/34+1.52+9.36*4/17+9.35*18/17+6.5*7/17+15.8/17+22.2*3/17+0.9+116.22/40+0.64/40+0.8/17+2.14*3/17+0.3</f>
        <v>112.81561764705883</v>
      </c>
      <c r="S404" s="78">
        <v>112.82</v>
      </c>
      <c r="T404" s="21">
        <f t="shared" si="193"/>
        <v>135.384</v>
      </c>
      <c r="U404" s="9">
        <f t="shared" si="192"/>
        <v>345.24198087688626</v>
      </c>
      <c r="V404" s="8">
        <f t="shared" si="185"/>
        <v>86.31049521922156</v>
      </c>
      <c r="W404" s="52">
        <f t="shared" si="201"/>
        <v>431.55247609610785</v>
      </c>
      <c r="X404" s="20"/>
      <c r="Y404" s="4">
        <v>351</v>
      </c>
      <c r="Z404" s="4">
        <v>366</v>
      </c>
      <c r="AA404" s="14">
        <f t="shared" si="195"/>
        <v>-1.640461288636402</v>
      </c>
      <c r="AB404" s="5"/>
      <c r="AD404" s="5"/>
      <c r="AE404" s="5"/>
    </row>
    <row r="405" spans="1:31" ht="15">
      <c r="A405" s="43" t="s">
        <v>824</v>
      </c>
      <c r="B405" s="31" t="s">
        <v>893</v>
      </c>
      <c r="C405" s="7">
        <v>572624</v>
      </c>
      <c r="D405" s="7">
        <v>1800</v>
      </c>
      <c r="E405" s="7">
        <v>7</v>
      </c>
      <c r="F405" s="8">
        <f t="shared" si="183"/>
        <v>37.11451851851852</v>
      </c>
      <c r="G405" s="37">
        <v>389340</v>
      </c>
      <c r="H405" s="7">
        <v>1800</v>
      </c>
      <c r="I405" s="7">
        <v>6</v>
      </c>
      <c r="J405" s="8">
        <f t="shared" si="184"/>
        <v>21.63</v>
      </c>
      <c r="K405" s="7">
        <f t="shared" si="202"/>
        <v>1921488.75</v>
      </c>
      <c r="L405" s="7">
        <v>846721</v>
      </c>
      <c r="M405" s="7">
        <v>2</v>
      </c>
      <c r="N405" s="8">
        <f t="shared" si="180"/>
        <v>4.538658542778554</v>
      </c>
      <c r="O405" s="8">
        <f t="shared" si="198"/>
        <v>63.283177061297074</v>
      </c>
      <c r="P405" s="8">
        <f t="shared" si="203"/>
        <v>19.111519472511716</v>
      </c>
      <c r="Q405" s="58">
        <f t="shared" si="204"/>
        <v>64.54884060252301</v>
      </c>
      <c r="R405" s="78">
        <f>6.1/17+2950/34+1.52+9.36*4/17+9.35*18/17+6.5*7/17+15.8/17+22.2*3/17+0.9+116.22/40+0.64/40+0.8/17+2.14*3/17+0.3</f>
        <v>112.81561764705883</v>
      </c>
      <c r="S405" s="78">
        <v>112.82</v>
      </c>
      <c r="T405" s="21">
        <f t="shared" si="193"/>
        <v>135.384</v>
      </c>
      <c r="U405" s="9">
        <f t="shared" si="192"/>
        <v>286.8661956791103</v>
      </c>
      <c r="V405" s="8">
        <f t="shared" si="185"/>
        <v>71.71654891977758</v>
      </c>
      <c r="W405" s="52">
        <f t="shared" si="201"/>
        <v>358.58274459888787</v>
      </c>
      <c r="X405" s="20"/>
      <c r="Y405" s="4">
        <v>351</v>
      </c>
      <c r="Z405" s="4">
        <v>366</v>
      </c>
      <c r="AA405" s="14">
        <f t="shared" si="195"/>
        <v>-18.271739122760593</v>
      </c>
      <c r="AB405" s="5"/>
      <c r="AD405" s="5"/>
      <c r="AE405" s="5"/>
    </row>
    <row r="406" spans="1:31" ht="15">
      <c r="A406" s="43" t="s">
        <v>825</v>
      </c>
      <c r="B406" s="31" t="s">
        <v>916</v>
      </c>
      <c r="C406" s="7">
        <v>572624</v>
      </c>
      <c r="D406" s="7">
        <v>1800</v>
      </c>
      <c r="E406" s="7">
        <v>4</v>
      </c>
      <c r="F406" s="8">
        <f t="shared" si="183"/>
        <v>21.208296296296297</v>
      </c>
      <c r="G406" s="37">
        <v>389340</v>
      </c>
      <c r="H406" s="7">
        <v>1800</v>
      </c>
      <c r="I406" s="7">
        <v>2</v>
      </c>
      <c r="J406" s="8">
        <f t="shared" si="184"/>
        <v>7.21</v>
      </c>
      <c r="K406" s="7">
        <f t="shared" si="202"/>
        <v>1921488.75</v>
      </c>
      <c r="L406" s="7">
        <v>846721</v>
      </c>
      <c r="M406" s="7">
        <v>3</v>
      </c>
      <c r="N406" s="8">
        <f t="shared" si="180"/>
        <v>6.807987814167832</v>
      </c>
      <c r="O406" s="8">
        <f t="shared" si="198"/>
        <v>35.22628411046413</v>
      </c>
      <c r="P406" s="8">
        <f t="shared" si="203"/>
        <v>10.638337801360166</v>
      </c>
      <c r="Q406" s="58">
        <f t="shared" si="204"/>
        <v>35.930809792673415</v>
      </c>
      <c r="R406" s="78">
        <f>6.1/17+2950/34+1.52+9.36*4/17+9.35*18/17+6.5*7/17+15.8/17+22.2*3/17+0.9+116.22/40+0.64/40+0.8/17+2.14*3/17+0.3</f>
        <v>112.81561764705883</v>
      </c>
      <c r="S406" s="78">
        <v>112.82</v>
      </c>
      <c r="T406" s="21">
        <f t="shared" si="193"/>
        <v>135.384</v>
      </c>
      <c r="U406" s="9">
        <f t="shared" si="192"/>
        <v>223.98741951866552</v>
      </c>
      <c r="V406" s="8">
        <f t="shared" si="185"/>
        <v>55.99685487966638</v>
      </c>
      <c r="W406" s="52">
        <f t="shared" si="201"/>
        <v>279.9842743983319</v>
      </c>
      <c r="X406" s="20"/>
      <c r="Y406" s="4">
        <v>351</v>
      </c>
      <c r="Z406" s="4">
        <v>366</v>
      </c>
      <c r="AA406" s="14">
        <f t="shared" si="195"/>
        <v>-36.18592036505256</v>
      </c>
      <c r="AB406" s="5"/>
      <c r="AD406" s="5"/>
      <c r="AE406" s="5"/>
    </row>
    <row r="407" spans="1:31" ht="15">
      <c r="A407" s="43" t="s">
        <v>826</v>
      </c>
      <c r="B407" s="31" t="s">
        <v>901</v>
      </c>
      <c r="C407" s="7">
        <v>572624</v>
      </c>
      <c r="D407" s="7">
        <v>1800</v>
      </c>
      <c r="E407" s="7">
        <v>3</v>
      </c>
      <c r="F407" s="8">
        <f t="shared" si="183"/>
        <v>15.906222222222222</v>
      </c>
      <c r="G407" s="37">
        <v>389340</v>
      </c>
      <c r="H407" s="7">
        <v>1800</v>
      </c>
      <c r="I407" s="7">
        <v>3</v>
      </c>
      <c r="J407" s="8">
        <f t="shared" si="184"/>
        <v>10.815</v>
      </c>
      <c r="K407" s="7">
        <f t="shared" si="202"/>
        <v>1921488.75</v>
      </c>
      <c r="L407" s="7">
        <v>846721</v>
      </c>
      <c r="M407" s="7">
        <v>2</v>
      </c>
      <c r="N407" s="8">
        <f t="shared" si="180"/>
        <v>4.538658542778554</v>
      </c>
      <c r="O407" s="8">
        <f t="shared" si="198"/>
        <v>31.25988076500078</v>
      </c>
      <c r="P407" s="8">
        <f t="shared" si="203"/>
        <v>9.440483991030236</v>
      </c>
      <c r="Q407" s="58">
        <f t="shared" si="204"/>
        <v>31.885078380300797</v>
      </c>
      <c r="R407" s="78">
        <f>6.1/17+5346/34+1.52+9.36*4/17+9.35*18/17+6.5*7/17+15.8/17+22.2*3/17+0.9+116.22/40+0.64/40+0.8/17+2.14*3/17+0.3</f>
        <v>183.28620588235296</v>
      </c>
      <c r="S407" s="78">
        <v>183.29</v>
      </c>
      <c r="T407" s="21">
        <f t="shared" si="193"/>
        <v>219.94799999999998</v>
      </c>
      <c r="U407" s="9">
        <f t="shared" si="192"/>
        <v>297.07210167911035</v>
      </c>
      <c r="V407" s="8">
        <f t="shared" si="185"/>
        <v>74.26802541977759</v>
      </c>
      <c r="W407" s="52">
        <f t="shared" si="201"/>
        <v>371.34012709888793</v>
      </c>
      <c r="X407" s="20"/>
      <c r="Y407" s="4">
        <v>351</v>
      </c>
      <c r="Z407" s="4">
        <v>366</v>
      </c>
      <c r="AA407" s="14">
        <f t="shared" si="195"/>
        <v>-15.36407359569506</v>
      </c>
      <c r="AB407" s="5"/>
      <c r="AD407" s="5"/>
      <c r="AE407" s="5"/>
    </row>
    <row r="408" spans="1:31" ht="15">
      <c r="A408" s="43" t="s">
        <v>827</v>
      </c>
      <c r="B408" s="31" t="s">
        <v>908</v>
      </c>
      <c r="C408" s="7">
        <v>572624</v>
      </c>
      <c r="D408" s="7">
        <v>1800</v>
      </c>
      <c r="E408" s="7">
        <v>9</v>
      </c>
      <c r="F408" s="8">
        <f t="shared" si="183"/>
        <v>47.718666666666664</v>
      </c>
      <c r="G408" s="37">
        <v>389340</v>
      </c>
      <c r="H408" s="7">
        <v>1800</v>
      </c>
      <c r="I408" s="7">
        <v>9</v>
      </c>
      <c r="J408" s="8">
        <f t="shared" si="184"/>
        <v>32.445</v>
      </c>
      <c r="K408" s="7">
        <f t="shared" si="202"/>
        <v>1921488.75</v>
      </c>
      <c r="L408" s="7">
        <v>846721</v>
      </c>
      <c r="M408" s="7">
        <v>9</v>
      </c>
      <c r="N408" s="8">
        <f t="shared" si="180"/>
        <v>20.423963442503496</v>
      </c>
      <c r="O408" s="8">
        <f t="shared" si="198"/>
        <v>100.58763010917016</v>
      </c>
      <c r="P408" s="8">
        <f t="shared" si="203"/>
        <v>30.37746429296939</v>
      </c>
      <c r="Q408" s="58">
        <f t="shared" si="204"/>
        <v>102.59938271135357</v>
      </c>
      <c r="R408" s="78">
        <f>6.1/17+2950/34+1.52+9.36*4/17+9.35*18/17+6.5*7/17+15.8/17+22.2*3/17+0.9+116.22/40+0.64/40+0.8/17+2.14*3/17+0.3</f>
        <v>112.81561764705883</v>
      </c>
      <c r="S408" s="78">
        <v>112.82</v>
      </c>
      <c r="T408" s="21">
        <f t="shared" si="193"/>
        <v>135.384</v>
      </c>
      <c r="U408" s="9">
        <f t="shared" si="192"/>
        <v>389.3724405559966</v>
      </c>
      <c r="V408" s="8">
        <f t="shared" si="185"/>
        <v>97.34311013899915</v>
      </c>
      <c r="W408" s="52">
        <f t="shared" si="201"/>
        <v>486.7155506949957</v>
      </c>
      <c r="X408" s="20"/>
      <c r="Y408" s="4">
        <v>351</v>
      </c>
      <c r="Z408" s="4">
        <v>366</v>
      </c>
      <c r="AA408" s="14">
        <f t="shared" si="195"/>
        <v>10.93231924672267</v>
      </c>
      <c r="AB408" s="5"/>
      <c r="AD408" s="5"/>
      <c r="AE408" s="5"/>
    </row>
    <row r="409" spans="1:31" ht="15">
      <c r="A409" s="43" t="s">
        <v>828</v>
      </c>
      <c r="B409" s="31" t="s">
        <v>917</v>
      </c>
      <c r="C409" s="7">
        <v>572624</v>
      </c>
      <c r="D409" s="7">
        <v>1800</v>
      </c>
      <c r="E409" s="7">
        <v>4</v>
      </c>
      <c r="F409" s="8">
        <f t="shared" si="183"/>
        <v>21.208296296296297</v>
      </c>
      <c r="G409" s="37">
        <v>389340</v>
      </c>
      <c r="H409" s="7">
        <v>1800</v>
      </c>
      <c r="I409" s="7">
        <v>2</v>
      </c>
      <c r="J409" s="8">
        <f t="shared" si="184"/>
        <v>7.21</v>
      </c>
      <c r="K409" s="7">
        <f t="shared" si="202"/>
        <v>1921488.75</v>
      </c>
      <c r="L409" s="7">
        <v>846721</v>
      </c>
      <c r="M409" s="7">
        <v>3</v>
      </c>
      <c r="N409" s="8">
        <f t="shared" si="180"/>
        <v>6.807987814167832</v>
      </c>
      <c r="O409" s="8">
        <f t="shared" si="198"/>
        <v>35.22628411046413</v>
      </c>
      <c r="P409" s="8">
        <f t="shared" si="203"/>
        <v>10.638337801360166</v>
      </c>
      <c r="Q409" s="58">
        <f t="shared" si="204"/>
        <v>35.930809792673415</v>
      </c>
      <c r="R409" s="78">
        <f>6.1/17+41200/37+1.52+9.36*4/17+9.35*18/17+6.5*7/17+15.8/17+22.2*3/17+0.9+116.22/40+0.64/40+0.8/17+2.14*3/17+0.3</f>
        <v>1139.56442527822</v>
      </c>
      <c r="S409" s="78">
        <v>1139.56</v>
      </c>
      <c r="T409" s="21">
        <f t="shared" si="193"/>
        <v>1367.472</v>
      </c>
      <c r="U409" s="9">
        <f t="shared" si="192"/>
        <v>1456.0754195186655</v>
      </c>
      <c r="V409" s="8">
        <f t="shared" si="185"/>
        <v>364.0188548796664</v>
      </c>
      <c r="W409" s="52">
        <f t="shared" si="201"/>
        <v>1820.094274398332</v>
      </c>
      <c r="X409" s="20"/>
      <c r="Y409" s="4">
        <v>351</v>
      </c>
      <c r="Z409" s="4">
        <v>366</v>
      </c>
      <c r="AA409" s="14">
        <f t="shared" si="195"/>
        <v>314.8363018571697</v>
      </c>
      <c r="AB409" s="5"/>
      <c r="AD409" s="5"/>
      <c r="AE409" s="5"/>
    </row>
    <row r="410" spans="1:31" ht="33" customHeight="1">
      <c r="A410" s="43" t="s">
        <v>829</v>
      </c>
      <c r="B410" s="31" t="s">
        <v>898</v>
      </c>
      <c r="C410" s="7">
        <v>572624</v>
      </c>
      <c r="D410" s="7">
        <v>1800</v>
      </c>
      <c r="E410" s="7">
        <v>7</v>
      </c>
      <c r="F410" s="8">
        <f t="shared" si="183"/>
        <v>37.11451851851852</v>
      </c>
      <c r="G410" s="37">
        <v>389340</v>
      </c>
      <c r="H410" s="7">
        <v>1800</v>
      </c>
      <c r="I410" s="7">
        <v>7</v>
      </c>
      <c r="J410" s="8">
        <f t="shared" si="184"/>
        <v>25.235</v>
      </c>
      <c r="K410" s="7">
        <f t="shared" si="202"/>
        <v>1921488.75</v>
      </c>
      <c r="L410" s="7">
        <v>846721</v>
      </c>
      <c r="M410" s="7">
        <v>5</v>
      </c>
      <c r="N410" s="8">
        <f t="shared" si="180"/>
        <v>11.346646356946387</v>
      </c>
      <c r="O410" s="8">
        <f t="shared" si="198"/>
        <v>73.69616487546492</v>
      </c>
      <c r="P410" s="8">
        <f t="shared" si="203"/>
        <v>22.256241792390405</v>
      </c>
      <c r="Q410" s="58">
        <f t="shared" si="204"/>
        <v>75.17008817297422</v>
      </c>
      <c r="R410" s="78">
        <f>6.1/17+2950/34+1.52+9.36*4/17+9.35*18/17+6.5*7/17+15.8/17+22.2*3/17+0.9+116.22/40+0.64/40+0.8/17+2.14*3/17+0.3</f>
        <v>112.81561764705883</v>
      </c>
      <c r="S410" s="78">
        <v>112.82</v>
      </c>
      <c r="T410" s="21">
        <f t="shared" si="193"/>
        <v>135.384</v>
      </c>
      <c r="U410" s="9">
        <f t="shared" si="192"/>
        <v>317.8531411977759</v>
      </c>
      <c r="V410" s="8">
        <f t="shared" si="185"/>
        <v>79.46328529944398</v>
      </c>
      <c r="W410" s="52">
        <f aca="true" t="shared" si="205" ref="W410:W415">U410+V410</f>
        <v>397.31642649721994</v>
      </c>
      <c r="X410" s="20"/>
      <c r="Y410" s="4">
        <v>351</v>
      </c>
      <c r="Z410" s="4">
        <v>366</v>
      </c>
      <c r="AA410" s="14">
        <f t="shared" si="195"/>
        <v>-9.443549516303165</v>
      </c>
      <c r="AB410" s="5"/>
      <c r="AD410" s="5"/>
      <c r="AE410" s="5"/>
    </row>
    <row r="411" spans="1:31" ht="30.75" customHeight="1">
      <c r="A411" s="43" t="s">
        <v>830</v>
      </c>
      <c r="B411" s="31" t="s">
        <v>899</v>
      </c>
      <c r="C411" s="7">
        <v>572624</v>
      </c>
      <c r="D411" s="7">
        <v>1800</v>
      </c>
      <c r="E411" s="7">
        <v>6</v>
      </c>
      <c r="F411" s="8">
        <f t="shared" si="183"/>
        <v>31.812444444444445</v>
      </c>
      <c r="G411" s="37">
        <v>389340</v>
      </c>
      <c r="H411" s="7">
        <v>1800</v>
      </c>
      <c r="I411" s="7">
        <v>4</v>
      </c>
      <c r="J411" s="8">
        <f t="shared" si="184"/>
        <v>14.42</v>
      </c>
      <c r="K411" s="7">
        <f t="shared" si="202"/>
        <v>1921488.75</v>
      </c>
      <c r="L411" s="7">
        <v>846721</v>
      </c>
      <c r="M411" s="7">
        <v>2</v>
      </c>
      <c r="N411" s="8">
        <f t="shared" si="180"/>
        <v>4.538658542778554</v>
      </c>
      <c r="O411" s="8">
        <f t="shared" si="198"/>
        <v>50.771102987223</v>
      </c>
      <c r="P411" s="8">
        <f t="shared" si="203"/>
        <v>15.332873102141347</v>
      </c>
      <c r="Q411" s="58">
        <f t="shared" si="204"/>
        <v>51.78652504696746</v>
      </c>
      <c r="R411" s="78">
        <f>6.1/17+3600/34+1.52+9.36*4/17+9.35*18/17+6.5*7/17+15.8/17+22.2*3/17+0.9+116.22/40+0.64/40+0.8/17+2.14*3/17+0.3</f>
        <v>131.93326470588232</v>
      </c>
      <c r="S411" s="78">
        <v>131.93</v>
      </c>
      <c r="T411" s="21">
        <f t="shared" si="193"/>
        <v>158.316</v>
      </c>
      <c r="U411" s="9">
        <f t="shared" si="192"/>
        <v>280.7451596791104</v>
      </c>
      <c r="V411" s="8">
        <f t="shared" si="185"/>
        <v>70.1862899197776</v>
      </c>
      <c r="W411" s="52">
        <f t="shared" si="205"/>
        <v>350.931449598888</v>
      </c>
      <c r="X411" s="20"/>
      <c r="Y411" s="4">
        <v>351</v>
      </c>
      <c r="Z411" s="4">
        <v>366</v>
      </c>
      <c r="AA411" s="14">
        <f t="shared" si="195"/>
        <v>-20.015624023045476</v>
      </c>
      <c r="AB411" s="5"/>
      <c r="AD411" s="5"/>
      <c r="AE411" s="5"/>
    </row>
    <row r="412" spans="1:31" ht="15">
      <c r="A412" s="43" t="s">
        <v>831</v>
      </c>
      <c r="B412" s="31" t="s">
        <v>895</v>
      </c>
      <c r="C412" s="7">
        <v>572624</v>
      </c>
      <c r="D412" s="7">
        <v>1800</v>
      </c>
      <c r="E412" s="7">
        <v>8</v>
      </c>
      <c r="F412" s="8">
        <f t="shared" si="183"/>
        <v>42.41659259259259</v>
      </c>
      <c r="G412" s="37">
        <v>389340</v>
      </c>
      <c r="H412" s="7">
        <v>1800</v>
      </c>
      <c r="I412" s="7">
        <v>6</v>
      </c>
      <c r="J412" s="8">
        <f t="shared" si="184"/>
        <v>21.63</v>
      </c>
      <c r="K412" s="7">
        <f t="shared" si="202"/>
        <v>1921488.75</v>
      </c>
      <c r="L412" s="7">
        <v>846721</v>
      </c>
      <c r="M412" s="7">
        <v>5</v>
      </c>
      <c r="N412" s="8">
        <f t="shared" si="180"/>
        <v>11.346646356946387</v>
      </c>
      <c r="O412" s="8">
        <f t="shared" si="198"/>
        <v>75.39323894953898</v>
      </c>
      <c r="P412" s="8">
        <f t="shared" si="203"/>
        <v>22.768758162760772</v>
      </c>
      <c r="Q412" s="58">
        <f t="shared" si="204"/>
        <v>76.90110372852976</v>
      </c>
      <c r="R412" s="78">
        <f>6.1/17+5400/34+1.52+9.36*4/17+9.35*18/17+6.5*7/17+15.8/17+22.2*3/17+0.9+116.22/40+0.64/40+0.8/17+2.14*3/17+0.3</f>
        <v>184.87444117647058</v>
      </c>
      <c r="S412" s="78">
        <v>184.87</v>
      </c>
      <c r="T412" s="21">
        <f t="shared" si="193"/>
        <v>221.844</v>
      </c>
      <c r="U412" s="9">
        <f t="shared" si="192"/>
        <v>408.2537471977759</v>
      </c>
      <c r="V412" s="8">
        <f t="shared" si="185"/>
        <v>102.06343679944398</v>
      </c>
      <c r="W412" s="52">
        <f t="shared" si="205"/>
        <v>510.3171839972199</v>
      </c>
      <c r="X412" s="20"/>
      <c r="Y412" s="4">
        <v>351</v>
      </c>
      <c r="Z412" s="4">
        <v>366</v>
      </c>
      <c r="AA412" s="14">
        <f t="shared" si="195"/>
        <v>16.311608888255236</v>
      </c>
      <c r="AB412" s="5"/>
      <c r="AD412" s="5"/>
      <c r="AE412" s="5"/>
    </row>
    <row r="413" spans="1:31" ht="15">
      <c r="A413" s="43" t="s">
        <v>832</v>
      </c>
      <c r="B413" s="31" t="s">
        <v>896</v>
      </c>
      <c r="C413" s="7">
        <v>572624</v>
      </c>
      <c r="D413" s="7">
        <v>1800</v>
      </c>
      <c r="E413" s="7">
        <v>8</v>
      </c>
      <c r="F413" s="8">
        <f t="shared" si="183"/>
        <v>42.41659259259259</v>
      </c>
      <c r="G413" s="37">
        <v>389340</v>
      </c>
      <c r="H413" s="7">
        <v>1800</v>
      </c>
      <c r="I413" s="7">
        <v>7</v>
      </c>
      <c r="J413" s="8">
        <f t="shared" si="184"/>
        <v>25.235</v>
      </c>
      <c r="K413" s="7">
        <f t="shared" si="202"/>
        <v>1921488.75</v>
      </c>
      <c r="L413" s="7">
        <v>846721</v>
      </c>
      <c r="M413" s="7">
        <v>3</v>
      </c>
      <c r="N413" s="8">
        <f t="shared" si="180"/>
        <v>6.807987814167832</v>
      </c>
      <c r="O413" s="8">
        <f t="shared" si="198"/>
        <v>74.45958040676042</v>
      </c>
      <c r="P413" s="8">
        <f t="shared" si="203"/>
        <v>22.486793282841646</v>
      </c>
      <c r="Q413" s="58">
        <f t="shared" si="204"/>
        <v>75.94877201489564</v>
      </c>
      <c r="R413" s="78">
        <f>6.1/17+5900/34+1.52+9.36*4/17+9.35*18/17+6.5*7/17+15.8/17+22.2*3/17+0.9+116.22/40+0.64/40+0.8/17+2.14*3/17+0.3</f>
        <v>199.58032352941177</v>
      </c>
      <c r="S413" s="78">
        <v>199.58</v>
      </c>
      <c r="T413" s="21">
        <f t="shared" si="193"/>
        <v>239.496</v>
      </c>
      <c r="U413" s="9">
        <f t="shared" si="192"/>
        <v>419.1991335186656</v>
      </c>
      <c r="V413" s="8">
        <f t="shared" si="185"/>
        <v>104.7997833796664</v>
      </c>
      <c r="W413" s="52">
        <f t="shared" si="205"/>
        <v>523.998916898332</v>
      </c>
      <c r="X413" s="20"/>
      <c r="Y413" s="4">
        <v>351</v>
      </c>
      <c r="Z413" s="4">
        <v>366</v>
      </c>
      <c r="AA413" s="14">
        <f t="shared" si="195"/>
        <v>19.42995256942038</v>
      </c>
      <c r="AB413" s="5"/>
      <c r="AD413" s="5"/>
      <c r="AE413" s="5"/>
    </row>
    <row r="414" spans="1:31" ht="15">
      <c r="A414" s="43" t="s">
        <v>833</v>
      </c>
      <c r="B414" s="31" t="s">
        <v>897</v>
      </c>
      <c r="C414" s="7">
        <v>572624</v>
      </c>
      <c r="D414" s="7">
        <v>1800</v>
      </c>
      <c r="E414" s="7">
        <v>10</v>
      </c>
      <c r="F414" s="8">
        <f t="shared" si="183"/>
        <v>53.02074074074074</v>
      </c>
      <c r="G414" s="37">
        <v>389340</v>
      </c>
      <c r="H414" s="7">
        <v>1800</v>
      </c>
      <c r="I414" s="7">
        <v>9</v>
      </c>
      <c r="J414" s="8">
        <f t="shared" si="184"/>
        <v>32.445</v>
      </c>
      <c r="K414" s="7">
        <f t="shared" si="202"/>
        <v>1921488.75</v>
      </c>
      <c r="L414" s="7">
        <v>846721</v>
      </c>
      <c r="M414" s="7">
        <v>7</v>
      </c>
      <c r="N414" s="8">
        <f t="shared" si="180"/>
        <v>15.88530489972494</v>
      </c>
      <c r="O414" s="8">
        <f t="shared" si="198"/>
        <v>101.35104564046568</v>
      </c>
      <c r="P414" s="8">
        <f t="shared" si="203"/>
        <v>30.608015783420637</v>
      </c>
      <c r="Q414" s="58">
        <f t="shared" si="204"/>
        <v>103.378066553275</v>
      </c>
      <c r="R414" s="78">
        <f>6.1/17+3950/34+1.52+9.36*4/17+9.35*18/17+6.5*7/17+15.8/17+22.2*3/17+0.9+116.22/40+0.64/40+0.8/17+2.14*3/17+0.3</f>
        <v>142.2273823529412</v>
      </c>
      <c r="S414" s="78">
        <v>142.23</v>
      </c>
      <c r="T414" s="21">
        <f t="shared" si="193"/>
        <v>170.676</v>
      </c>
      <c r="U414" s="9">
        <f t="shared" si="192"/>
        <v>421.89843287688626</v>
      </c>
      <c r="V414" s="8">
        <f t="shared" si="185"/>
        <v>105.47460821922157</v>
      </c>
      <c r="W414" s="52">
        <f t="shared" si="205"/>
        <v>527.3730410961078</v>
      </c>
      <c r="X414" s="20"/>
      <c r="Y414" s="4">
        <v>351</v>
      </c>
      <c r="Z414" s="4">
        <v>366</v>
      </c>
      <c r="AA414" s="14">
        <f t="shared" si="195"/>
        <v>20.198983725608628</v>
      </c>
      <c r="AB414" s="5"/>
      <c r="AD414" s="5"/>
      <c r="AE414" s="5"/>
    </row>
    <row r="415" spans="1:31" ht="15">
      <c r="A415" s="43" t="s">
        <v>834</v>
      </c>
      <c r="B415" s="31" t="s">
        <v>918</v>
      </c>
      <c r="C415" s="7">
        <v>572624</v>
      </c>
      <c r="D415" s="7">
        <v>1800</v>
      </c>
      <c r="E415" s="7">
        <v>2</v>
      </c>
      <c r="F415" s="8">
        <f>C415/D415/60*E415</f>
        <v>10.604148148148148</v>
      </c>
      <c r="G415" s="37">
        <v>389340</v>
      </c>
      <c r="H415" s="7">
        <v>1800</v>
      </c>
      <c r="I415" s="7">
        <v>1</v>
      </c>
      <c r="J415" s="8">
        <f>G415/H415/60*I415</f>
        <v>3.605</v>
      </c>
      <c r="K415" s="7">
        <f t="shared" si="202"/>
        <v>1921488.75</v>
      </c>
      <c r="L415" s="7">
        <v>846721</v>
      </c>
      <c r="M415" s="7">
        <v>2</v>
      </c>
      <c r="N415" s="8">
        <f t="shared" si="180"/>
        <v>4.538658542778554</v>
      </c>
      <c r="O415" s="8">
        <f t="shared" si="198"/>
        <v>18.7478066909267</v>
      </c>
      <c r="P415" s="8">
        <f t="shared" si="203"/>
        <v>5.661837620659863</v>
      </c>
      <c r="Q415" s="58">
        <f t="shared" si="204"/>
        <v>19.122762824745237</v>
      </c>
      <c r="R415" s="78">
        <f>6.1/17+4600/34+1.52+9.36*4/17+9.35*18/17+6.5*7/17+15.8/17+22.2*3/17+0.9+116.22/40+0.64/40+0.8/17+2.14*3/17+0.3</f>
        <v>161.3450294117647</v>
      </c>
      <c r="S415" s="78">
        <v>161.35</v>
      </c>
      <c r="T415" s="21">
        <f t="shared" si="193"/>
        <v>193.61999999999998</v>
      </c>
      <c r="U415" s="9">
        <f t="shared" si="192"/>
        <v>241.69106567911035</v>
      </c>
      <c r="V415" s="8">
        <f>U415*25%</f>
        <v>60.42276641977759</v>
      </c>
      <c r="W415" s="52">
        <f t="shared" si="205"/>
        <v>302.11383209888794</v>
      </c>
      <c r="X415" s="20"/>
      <c r="Y415" s="4">
        <v>351</v>
      </c>
      <c r="Z415" s="4">
        <v>366</v>
      </c>
      <c r="AA415" s="14">
        <f t="shared" si="195"/>
        <v>-31.14214653016799</v>
      </c>
      <c r="AB415" s="5"/>
      <c r="AD415" s="5"/>
      <c r="AE415" s="5"/>
    </row>
    <row r="416" spans="1:31" ht="15">
      <c r="A416" s="43" t="s">
        <v>835</v>
      </c>
      <c r="B416" s="31" t="s">
        <v>269</v>
      </c>
      <c r="C416" s="7">
        <v>572624</v>
      </c>
      <c r="D416" s="7">
        <v>1800</v>
      </c>
      <c r="E416" s="7">
        <v>10</v>
      </c>
      <c r="F416" s="8">
        <f>C416/D416/60*E416</f>
        <v>53.02074074074074</v>
      </c>
      <c r="G416" s="37">
        <v>389340</v>
      </c>
      <c r="H416" s="7">
        <v>1800</v>
      </c>
      <c r="I416" s="7">
        <v>4</v>
      </c>
      <c r="J416" s="8">
        <f aca="true" t="shared" si="206" ref="J416:J422">G416/H416/60*I416</f>
        <v>14.42</v>
      </c>
      <c r="K416" s="7">
        <f>'[2]Лист1'!$O$2244</f>
        <v>2000070</v>
      </c>
      <c r="L416" s="7">
        <v>846721</v>
      </c>
      <c r="M416" s="7">
        <v>5</v>
      </c>
      <c r="N416" s="8">
        <f t="shared" si="180"/>
        <v>11.810679078468587</v>
      </c>
      <c r="O416" s="8">
        <f aca="true" t="shared" si="207" ref="O416:O423">F416+J416+N416</f>
        <v>79.25141981920932</v>
      </c>
      <c r="P416" s="8">
        <f t="shared" si="181"/>
        <v>23.933928785401214</v>
      </c>
      <c r="Q416" s="58">
        <f t="shared" si="177"/>
        <v>80.8364482155935</v>
      </c>
      <c r="R416" s="78">
        <f>7.38*2+1+1.15*3+1.99*2+1.7+0.36*2.5+0.257*2.5</f>
        <v>26.432499999999997</v>
      </c>
      <c r="S416" s="79">
        <v>26.432499999999997</v>
      </c>
      <c r="T416" s="21">
        <f t="shared" si="178"/>
        <v>31.718999999999994</v>
      </c>
      <c r="U416" s="9">
        <f t="shared" si="186"/>
        <v>227.5514758986726</v>
      </c>
      <c r="V416" s="8">
        <f>U416*25%</f>
        <v>56.88786897466815</v>
      </c>
      <c r="W416" s="52">
        <f t="shared" si="189"/>
        <v>284.43934487334076</v>
      </c>
      <c r="X416" s="22">
        <v>284.43934487334076</v>
      </c>
      <c r="Y416" s="7"/>
      <c r="Z416" s="20">
        <v>234</v>
      </c>
      <c r="AA416" s="4">
        <v>252</v>
      </c>
      <c r="AB416" s="4">
        <v>252</v>
      </c>
      <c r="AC416" s="14">
        <f aca="true" t="shared" si="208" ref="AC416:AC423">(100*W416)/AA416-100</f>
        <v>12.872755902119337</v>
      </c>
      <c r="AD416" s="56">
        <v>247.11239827334083</v>
      </c>
      <c r="AE416" s="17">
        <f t="shared" si="176"/>
        <v>1.1510525042888018</v>
      </c>
    </row>
    <row r="417" spans="1:31" ht="15">
      <c r="A417" s="43" t="s">
        <v>836</v>
      </c>
      <c r="B417" s="31" t="s">
        <v>42</v>
      </c>
      <c r="C417" s="7">
        <v>572624</v>
      </c>
      <c r="D417" s="7"/>
      <c r="E417" s="7">
        <v>0</v>
      </c>
      <c r="F417" s="8"/>
      <c r="G417" s="37">
        <v>389340</v>
      </c>
      <c r="H417" s="7">
        <v>1800</v>
      </c>
      <c r="I417" s="7">
        <v>11</v>
      </c>
      <c r="J417" s="8">
        <f t="shared" si="206"/>
        <v>39.655</v>
      </c>
      <c r="K417" s="7">
        <v>0</v>
      </c>
      <c r="L417" s="7">
        <v>1</v>
      </c>
      <c r="M417" s="7">
        <v>0</v>
      </c>
      <c r="N417" s="8">
        <f t="shared" si="180"/>
        <v>0</v>
      </c>
      <c r="O417" s="8">
        <f t="shared" si="207"/>
        <v>39.655</v>
      </c>
      <c r="P417" s="8">
        <f t="shared" si="181"/>
        <v>11.97581</v>
      </c>
      <c r="Q417" s="58">
        <f t="shared" si="177"/>
        <v>40.448100000000004</v>
      </c>
      <c r="R417" s="78">
        <f>7.38+3.1+0.83*5+1.15*3+1.99*2+1.11*2+12.05*0.05</f>
        <v>24.882499999999997</v>
      </c>
      <c r="S417" s="79">
        <v>24.882499999999997</v>
      </c>
      <c r="T417" s="21">
        <f t="shared" si="178"/>
        <v>29.858999999999995</v>
      </c>
      <c r="U417" s="9">
        <f t="shared" si="186"/>
        <v>121.93791</v>
      </c>
      <c r="V417" s="8">
        <f aca="true" t="shared" si="209" ref="V417:V422">U417*25%</f>
        <v>30.4844775</v>
      </c>
      <c r="W417" s="52">
        <f t="shared" si="189"/>
        <v>152.4223875</v>
      </c>
      <c r="X417" s="22">
        <v>152.4223875</v>
      </c>
      <c r="Y417" s="7"/>
      <c r="Z417" s="20">
        <v>117</v>
      </c>
      <c r="AA417" s="4">
        <v>113</v>
      </c>
      <c r="AB417" s="4">
        <v>113</v>
      </c>
      <c r="AC417" s="14">
        <f t="shared" si="208"/>
        <v>34.88706858407079</v>
      </c>
      <c r="AD417" s="56">
        <v>128.7882632</v>
      </c>
      <c r="AE417" s="17">
        <f t="shared" si="176"/>
        <v>1.1835114762227807</v>
      </c>
    </row>
    <row r="418" spans="1:31" ht="15">
      <c r="A418" s="43" t="s">
        <v>837</v>
      </c>
      <c r="B418" s="31" t="s">
        <v>270</v>
      </c>
      <c r="C418" s="7">
        <v>572624</v>
      </c>
      <c r="D418" s="7">
        <v>1800</v>
      </c>
      <c r="E418" s="7">
        <v>8</v>
      </c>
      <c r="F418" s="8">
        <f aca="true" t="shared" si="210" ref="F418:F426">C418/D418/60*E418</f>
        <v>42.41659259259259</v>
      </c>
      <c r="G418" s="37">
        <v>389340</v>
      </c>
      <c r="H418" s="7">
        <v>1800</v>
      </c>
      <c r="I418" s="7">
        <v>3</v>
      </c>
      <c r="J418" s="8">
        <f t="shared" si="206"/>
        <v>10.815</v>
      </c>
      <c r="K418" s="7">
        <f>'[2]Лист1'!$O$1000</f>
        <v>13000</v>
      </c>
      <c r="L418" s="7">
        <v>846721</v>
      </c>
      <c r="M418" s="7">
        <v>6</v>
      </c>
      <c r="N418" s="8">
        <f t="shared" si="180"/>
        <v>0.09212007260951365</v>
      </c>
      <c r="O418" s="8">
        <f t="shared" si="207"/>
        <v>53.3237126652021</v>
      </c>
      <c r="P418" s="8">
        <f t="shared" si="181"/>
        <v>16.103761224891034</v>
      </c>
      <c r="Q418" s="58">
        <f t="shared" si="177"/>
        <v>54.390186918506146</v>
      </c>
      <c r="R418" s="78">
        <f>7.38*2+0.36*2.5+0.257*2.5+1+1.15*3+1.99*2+3.1+0.83*5+1.15*3</f>
        <v>35.432500000000005</v>
      </c>
      <c r="S418" s="79">
        <v>35.432500000000005</v>
      </c>
      <c r="T418" s="21">
        <f t="shared" si="178"/>
        <v>42.519000000000005</v>
      </c>
      <c r="U418" s="9">
        <f t="shared" si="186"/>
        <v>166.4287808812088</v>
      </c>
      <c r="V418" s="8">
        <f t="shared" si="209"/>
        <v>41.6071952203022</v>
      </c>
      <c r="W418" s="52">
        <f>U418+V418</f>
        <v>208.035976101511</v>
      </c>
      <c r="X418" s="22">
        <v>208.035976101511</v>
      </c>
      <c r="Y418" s="7"/>
      <c r="Z418" s="20">
        <v>150</v>
      </c>
      <c r="AA418" s="4">
        <v>148</v>
      </c>
      <c r="AB418" s="4">
        <v>148</v>
      </c>
      <c r="AC418" s="14">
        <f t="shared" si="208"/>
        <v>40.56484871723717</v>
      </c>
      <c r="AD418" s="56">
        <v>182.94604340151102</v>
      </c>
      <c r="AE418" s="17">
        <f t="shared" si="176"/>
        <v>1.1371438935409781</v>
      </c>
    </row>
    <row r="419" spans="1:31" ht="15">
      <c r="A419" s="43" t="s">
        <v>838</v>
      </c>
      <c r="B419" s="31" t="s">
        <v>43</v>
      </c>
      <c r="C419" s="7">
        <v>572624</v>
      </c>
      <c r="D419" s="7">
        <v>1800</v>
      </c>
      <c r="E419" s="7">
        <v>6</v>
      </c>
      <c r="F419" s="8">
        <f t="shared" si="210"/>
        <v>31.812444444444445</v>
      </c>
      <c r="G419" s="37">
        <v>389340</v>
      </c>
      <c r="H419" s="7">
        <v>1800</v>
      </c>
      <c r="I419" s="7">
        <v>3</v>
      </c>
      <c r="J419" s="8">
        <f t="shared" si="206"/>
        <v>10.815</v>
      </c>
      <c r="K419" s="7">
        <v>0</v>
      </c>
      <c r="L419" s="7">
        <v>1</v>
      </c>
      <c r="M419" s="7">
        <v>0</v>
      </c>
      <c r="N419" s="8">
        <f t="shared" si="180"/>
        <v>0</v>
      </c>
      <c r="O419" s="8">
        <f t="shared" si="207"/>
        <v>42.62744444444444</v>
      </c>
      <c r="P419" s="8">
        <f t="shared" si="181"/>
        <v>12.873488222222221</v>
      </c>
      <c r="Q419" s="58">
        <f t="shared" si="177"/>
        <v>43.47999333333333</v>
      </c>
      <c r="R419" s="78">
        <f>7.38+3.1+0.83*5+1.15*3+1.99+1.11</f>
        <v>21.179999999999996</v>
      </c>
      <c r="S419" s="79">
        <v>21.179999999999996</v>
      </c>
      <c r="T419" s="21">
        <f t="shared" si="178"/>
        <v>25.415999999999993</v>
      </c>
      <c r="U419" s="9">
        <f t="shared" si="186"/>
        <v>124.396926</v>
      </c>
      <c r="V419" s="8">
        <f t="shared" si="209"/>
        <v>31.0992315</v>
      </c>
      <c r="W419" s="52">
        <f t="shared" si="189"/>
        <v>155.49615749999998</v>
      </c>
      <c r="X419" s="22">
        <v>155.49615749999998</v>
      </c>
      <c r="Y419" s="7"/>
      <c r="Z419" s="20">
        <v>122</v>
      </c>
      <c r="AA419" s="4">
        <v>101</v>
      </c>
      <c r="AB419" s="4">
        <v>101</v>
      </c>
      <c r="AC419" s="14">
        <f t="shared" si="208"/>
        <v>53.95659158415839</v>
      </c>
      <c r="AD419" s="56">
        <v>131.5316884</v>
      </c>
      <c r="AE419" s="17">
        <f t="shared" si="176"/>
        <v>1.1821954039479963</v>
      </c>
    </row>
    <row r="420" spans="1:31" ht="15">
      <c r="A420" s="43" t="s">
        <v>839</v>
      </c>
      <c r="B420" s="31" t="s">
        <v>44</v>
      </c>
      <c r="C420" s="7">
        <v>572624</v>
      </c>
      <c r="D420" s="7">
        <v>1800</v>
      </c>
      <c r="E420" s="7">
        <v>7</v>
      </c>
      <c r="F420" s="8">
        <f t="shared" si="210"/>
        <v>37.11451851851852</v>
      </c>
      <c r="G420" s="37">
        <v>389340</v>
      </c>
      <c r="H420" s="7">
        <v>1800</v>
      </c>
      <c r="I420" s="7">
        <v>5</v>
      </c>
      <c r="J420" s="8">
        <f t="shared" si="206"/>
        <v>18.025</v>
      </c>
      <c r="K420" s="7">
        <v>0</v>
      </c>
      <c r="L420" s="7">
        <v>1</v>
      </c>
      <c r="M420" s="7">
        <v>0</v>
      </c>
      <c r="N420" s="8">
        <f t="shared" si="180"/>
        <v>0</v>
      </c>
      <c r="O420" s="8">
        <f t="shared" si="207"/>
        <v>55.13951851851852</v>
      </c>
      <c r="P420" s="8">
        <f t="shared" si="181"/>
        <v>16.652134592592592</v>
      </c>
      <c r="Q420" s="58">
        <f t="shared" si="177"/>
        <v>56.24230888888889</v>
      </c>
      <c r="R420" s="78">
        <f>7.38+3.1+0.83*5+1.15*31.99*2+1.11*2</f>
        <v>90.42699999999998</v>
      </c>
      <c r="S420" s="79">
        <v>90.42699999999998</v>
      </c>
      <c r="T420" s="21">
        <f t="shared" si="178"/>
        <v>108.51239999999997</v>
      </c>
      <c r="U420" s="9">
        <f t="shared" si="186"/>
        <v>236.546362</v>
      </c>
      <c r="V420" s="8">
        <f t="shared" si="209"/>
        <v>59.1365905</v>
      </c>
      <c r="W420" s="52">
        <f t="shared" si="189"/>
        <v>295.6829525</v>
      </c>
      <c r="X420" s="22">
        <v>295.6829525</v>
      </c>
      <c r="Y420" s="7"/>
      <c r="Z420" s="20">
        <v>144</v>
      </c>
      <c r="AA420" s="4">
        <v>140</v>
      </c>
      <c r="AB420" s="4">
        <v>140</v>
      </c>
      <c r="AC420" s="14">
        <f t="shared" si="208"/>
        <v>111.20210892857142</v>
      </c>
      <c r="AD420" s="56">
        <v>251.30663980000003</v>
      </c>
      <c r="AE420" s="17">
        <f t="shared" si="176"/>
        <v>1.1765823327840301</v>
      </c>
    </row>
    <row r="421" spans="1:31" ht="15">
      <c r="A421" s="43" t="s">
        <v>840</v>
      </c>
      <c r="B421" s="31" t="s">
        <v>45</v>
      </c>
      <c r="C421" s="7">
        <v>572624</v>
      </c>
      <c r="D421" s="7">
        <v>1800</v>
      </c>
      <c r="E421" s="7">
        <v>8</v>
      </c>
      <c r="F421" s="8">
        <f t="shared" si="210"/>
        <v>42.41659259259259</v>
      </c>
      <c r="G421" s="37">
        <v>389340</v>
      </c>
      <c r="H421" s="7">
        <v>1800</v>
      </c>
      <c r="I421" s="7">
        <v>4</v>
      </c>
      <c r="J421" s="8">
        <f t="shared" si="206"/>
        <v>14.42</v>
      </c>
      <c r="K421" s="7">
        <f>'[2]Лист1'!$O$1004</f>
        <v>18500</v>
      </c>
      <c r="L421" s="7">
        <v>846721</v>
      </c>
      <c r="M421" s="7">
        <v>7</v>
      </c>
      <c r="N421" s="8">
        <f t="shared" si="180"/>
        <v>0.15294294106323097</v>
      </c>
      <c r="O421" s="8">
        <f t="shared" si="207"/>
        <v>56.989535533655825</v>
      </c>
      <c r="P421" s="8">
        <f t="shared" si="181"/>
        <v>17.210839731164057</v>
      </c>
      <c r="Q421" s="58">
        <f t="shared" si="177"/>
        <v>58.129326244328944</v>
      </c>
      <c r="R421" s="78">
        <f>7.38+0.37*2+1.99+1.11</f>
        <v>11.219999999999999</v>
      </c>
      <c r="S421" s="79">
        <v>11.219999999999999</v>
      </c>
      <c r="T421" s="21">
        <f t="shared" si="178"/>
        <v>13.463999999999999</v>
      </c>
      <c r="U421" s="9">
        <f t="shared" si="186"/>
        <v>145.94664445021206</v>
      </c>
      <c r="V421" s="8">
        <f t="shared" si="209"/>
        <v>36.486661112553016</v>
      </c>
      <c r="W421" s="52">
        <f t="shared" si="189"/>
        <v>182.43330556276507</v>
      </c>
      <c r="X421" s="22">
        <v>182.43330556276507</v>
      </c>
      <c r="Y421" s="7"/>
      <c r="Z421" s="20">
        <v>150</v>
      </c>
      <c r="AA421" s="4">
        <v>148</v>
      </c>
      <c r="AB421" s="4">
        <v>148</v>
      </c>
      <c r="AC421" s="14">
        <f t="shared" si="208"/>
        <v>23.265747001868277</v>
      </c>
      <c r="AD421" s="56">
        <v>160.44722676276507</v>
      </c>
      <c r="AE421" s="17">
        <f t="shared" si="176"/>
        <v>1.1370299708109526</v>
      </c>
    </row>
    <row r="422" spans="1:31" ht="15">
      <c r="A422" s="43" t="s">
        <v>841</v>
      </c>
      <c r="B422" s="31" t="s">
        <v>271</v>
      </c>
      <c r="C422" s="7">
        <v>572624</v>
      </c>
      <c r="D422" s="7">
        <v>1800</v>
      </c>
      <c r="E422" s="7">
        <v>10</v>
      </c>
      <c r="F422" s="8">
        <f t="shared" si="210"/>
        <v>53.02074074074074</v>
      </c>
      <c r="G422" s="37">
        <v>389340</v>
      </c>
      <c r="H422" s="7">
        <v>1800</v>
      </c>
      <c r="I422" s="7">
        <v>9</v>
      </c>
      <c r="J422" s="8">
        <f t="shared" si="206"/>
        <v>32.445</v>
      </c>
      <c r="K422" s="7">
        <f>'[2]Лист1'!$O$2244+'[2]Лист1'!$O$981</f>
        <v>2016831</v>
      </c>
      <c r="L422" s="7">
        <v>846721</v>
      </c>
      <c r="M422" s="7">
        <v>11</v>
      </c>
      <c r="N422" s="8">
        <f t="shared" si="180"/>
        <v>26.20124102272177</v>
      </c>
      <c r="O422" s="8">
        <f t="shared" si="207"/>
        <v>111.66698176346252</v>
      </c>
      <c r="P422" s="8">
        <f t="shared" si="181"/>
        <v>33.72342849256568</v>
      </c>
      <c r="Q422" s="58">
        <f t="shared" si="177"/>
        <v>113.90032139873176</v>
      </c>
      <c r="R422" s="78">
        <f>7.38*3+3.1*2+0.83*10+1.15*6+1.99*3+1.11*2+0.9*7+0.66+0.66*4+6.6+5</f>
        <v>72.92999999999999</v>
      </c>
      <c r="S422" s="79">
        <v>72.92999999999999</v>
      </c>
      <c r="T422" s="21">
        <f t="shared" si="178"/>
        <v>87.51599999999999</v>
      </c>
      <c r="U422" s="9">
        <f t="shared" si="186"/>
        <v>373.0079726774817</v>
      </c>
      <c r="V422" s="8">
        <f t="shared" si="209"/>
        <v>93.25199316937042</v>
      </c>
      <c r="W422" s="52">
        <f t="shared" si="189"/>
        <v>466.2599658468521</v>
      </c>
      <c r="X422" s="22">
        <v>466.2599658468521</v>
      </c>
      <c r="Y422" s="7"/>
      <c r="Z422" s="20">
        <v>356</v>
      </c>
      <c r="AA422" s="4">
        <v>356</v>
      </c>
      <c r="AB422" s="4">
        <v>450</v>
      </c>
      <c r="AC422" s="14">
        <f t="shared" si="208"/>
        <v>30.971900518778682</v>
      </c>
      <c r="AD422" s="56">
        <v>401.5092101468522</v>
      </c>
      <c r="AE422" s="17">
        <f t="shared" si="176"/>
        <v>1.1612684194126388</v>
      </c>
    </row>
    <row r="423" spans="1:31" ht="15">
      <c r="A423" s="43" t="s">
        <v>842</v>
      </c>
      <c r="B423" s="31" t="s">
        <v>272</v>
      </c>
      <c r="C423" s="7">
        <v>572624</v>
      </c>
      <c r="D423" s="7">
        <v>1800</v>
      </c>
      <c r="E423" s="7">
        <v>8</v>
      </c>
      <c r="F423" s="8">
        <f t="shared" si="210"/>
        <v>42.41659259259259</v>
      </c>
      <c r="G423" s="37">
        <v>389340</v>
      </c>
      <c r="H423" s="7">
        <v>1800</v>
      </c>
      <c r="I423" s="7">
        <v>5</v>
      </c>
      <c r="J423" s="8">
        <f aca="true" t="shared" si="211" ref="J423:J434">G423/H423/60*I423</f>
        <v>18.025</v>
      </c>
      <c r="K423" s="7">
        <f>'[2]Лист1'!$O$579+'[2]Лист1'!$O$979</f>
        <v>27155.5</v>
      </c>
      <c r="L423" s="7">
        <v>846721</v>
      </c>
      <c r="M423" s="7">
        <v>4</v>
      </c>
      <c r="N423" s="8">
        <f t="shared" si="180"/>
        <v>0.12828546829475115</v>
      </c>
      <c r="O423" s="8">
        <f t="shared" si="207"/>
        <v>60.56987806088734</v>
      </c>
      <c r="P423" s="8">
        <f t="shared" si="181"/>
        <v>18.292103174387975</v>
      </c>
      <c r="Q423" s="58">
        <f t="shared" si="177"/>
        <v>61.78127562210509</v>
      </c>
      <c r="R423" s="78">
        <f>7.38*2+13.72+0.83*5+9.66+1.11*2+1.15*3+1.99*2+1.7+2</f>
        <v>55.64000000000001</v>
      </c>
      <c r="S423" s="79">
        <v>55.64000000000001</v>
      </c>
      <c r="T423" s="21">
        <f t="shared" si="178"/>
        <v>66.768</v>
      </c>
      <c r="U423" s="9">
        <f t="shared" si="186"/>
        <v>207.53954232567514</v>
      </c>
      <c r="V423" s="8">
        <f>U423*25%</f>
        <v>51.884885581418786</v>
      </c>
      <c r="W423" s="52">
        <f t="shared" si="189"/>
        <v>259.4244279070939</v>
      </c>
      <c r="X423" s="22">
        <v>259.4244279070939</v>
      </c>
      <c r="Y423" s="7"/>
      <c r="Z423" s="20">
        <v>189</v>
      </c>
      <c r="AA423" s="4">
        <v>161</v>
      </c>
      <c r="AB423" s="4">
        <v>200</v>
      </c>
      <c r="AC423" s="14">
        <f t="shared" si="208"/>
        <v>61.13318503546205</v>
      </c>
      <c r="AD423" s="56">
        <v>223.384078007094</v>
      </c>
      <c r="AE423" s="17">
        <f t="shared" si="176"/>
        <v>1.1613380426283353</v>
      </c>
    </row>
    <row r="424" spans="1:31" ht="15">
      <c r="A424" s="43" t="s">
        <v>843</v>
      </c>
      <c r="B424" s="31" t="s">
        <v>921</v>
      </c>
      <c r="C424" s="7">
        <v>572624</v>
      </c>
      <c r="D424" s="7">
        <v>1800</v>
      </c>
      <c r="E424" s="7">
        <v>8</v>
      </c>
      <c r="F424" s="8">
        <f>C424/D424/60*E424</f>
        <v>42.41659259259259</v>
      </c>
      <c r="G424" s="37">
        <v>389340</v>
      </c>
      <c r="H424" s="7">
        <v>1800</v>
      </c>
      <c r="I424" s="7">
        <v>5</v>
      </c>
      <c r="J424" s="8">
        <f>G424/H424/60*I424</f>
        <v>18.025</v>
      </c>
      <c r="K424" s="7">
        <f>3488.75+14950+12205.5+3300</f>
        <v>33944.25</v>
      </c>
      <c r="L424" s="7">
        <v>846721</v>
      </c>
      <c r="M424" s="7">
        <v>4</v>
      </c>
      <c r="N424" s="8">
        <f>K424/L424*M424</f>
        <v>0.16035624485515299</v>
      </c>
      <c r="O424" s="8">
        <f>F424+J424+N424</f>
        <v>60.60194883744774</v>
      </c>
      <c r="P424" s="8">
        <f>O424*0.302</f>
        <v>18.30178854890922</v>
      </c>
      <c r="Q424" s="58">
        <f>(O424)*102%</f>
        <v>61.8139878141967</v>
      </c>
      <c r="R424" s="78">
        <f>6.1+680/50+3.51*4+116.22/40+(0.8/17)*4+1.15*3+2.14*2+(262.42/2)*0.2</f>
        <v>70.80573529411765</v>
      </c>
      <c r="S424" s="79">
        <v>70.81</v>
      </c>
      <c r="T424" s="21">
        <f>S424*1.2</f>
        <v>84.972</v>
      </c>
      <c r="U424" s="9">
        <f>N424+O424+P424+Q424+T424</f>
        <v>225.85008144540882</v>
      </c>
      <c r="V424" s="8">
        <f>U424*25%</f>
        <v>56.462520361352205</v>
      </c>
      <c r="W424" s="52">
        <f>U424+V424</f>
        <v>282.312601806761</v>
      </c>
      <c r="X424" s="22"/>
      <c r="Y424" s="7"/>
      <c r="Z424" s="20">
        <v>189</v>
      </c>
      <c r="AA424" s="4">
        <v>161</v>
      </c>
      <c r="AB424" s="4">
        <v>200</v>
      </c>
      <c r="AC424" s="14">
        <f>(100*W424)/AA424-100</f>
        <v>75.34944211600063</v>
      </c>
      <c r="AD424" s="56">
        <v>223.384078007094</v>
      </c>
      <c r="AE424" s="17">
        <f>W424/AD424</f>
        <v>1.2637991226832004</v>
      </c>
    </row>
    <row r="425" spans="1:31" ht="15">
      <c r="A425" s="43" t="s">
        <v>844</v>
      </c>
      <c r="B425" s="31" t="s">
        <v>382</v>
      </c>
      <c r="C425" s="7">
        <v>572624</v>
      </c>
      <c r="D425" s="7">
        <v>1800</v>
      </c>
      <c r="E425" s="7">
        <v>8</v>
      </c>
      <c r="F425" s="8">
        <f t="shared" si="210"/>
        <v>42.41659259259259</v>
      </c>
      <c r="G425" s="37">
        <v>389340</v>
      </c>
      <c r="H425" s="7">
        <v>1800</v>
      </c>
      <c r="I425" s="7">
        <v>5</v>
      </c>
      <c r="J425" s="8">
        <f t="shared" si="211"/>
        <v>18.025</v>
      </c>
      <c r="K425" s="7">
        <f>'[2]Лист1'!$O$579+'[2]Лист1'!$O$979</f>
        <v>27155.5</v>
      </c>
      <c r="L425" s="7">
        <v>846721</v>
      </c>
      <c r="M425" s="7">
        <v>9</v>
      </c>
      <c r="N425" s="8">
        <f aca="true" t="shared" si="212" ref="N425:N433">K425/L425*M425</f>
        <v>0.2886423036631901</v>
      </c>
      <c r="O425" s="8">
        <f aca="true" t="shared" si="213" ref="O425:O433">F425+J425+N425</f>
        <v>60.73023489625578</v>
      </c>
      <c r="P425" s="8">
        <f aca="true" t="shared" si="214" ref="P425:P434">O425*0.302</f>
        <v>18.340530938669247</v>
      </c>
      <c r="Q425" s="58">
        <f t="shared" si="177"/>
        <v>61.9448395941809</v>
      </c>
      <c r="R425" s="78">
        <f>7.38*2+13.72+0.83*5+9.66+1.11*2+1.15*3+1.99*2+1.7+2</f>
        <v>55.64000000000001</v>
      </c>
      <c r="S425" s="79">
        <v>55.64000000000001</v>
      </c>
      <c r="T425" s="21">
        <f t="shared" si="178"/>
        <v>66.768</v>
      </c>
      <c r="U425" s="9">
        <f t="shared" si="186"/>
        <v>208.0722477327691</v>
      </c>
      <c r="V425" s="8">
        <f>U425*25%</f>
        <v>52.01806193319228</v>
      </c>
      <c r="W425" s="52">
        <f aca="true" t="shared" si="215" ref="W425:W433">U425+V425</f>
        <v>260.0903096659614</v>
      </c>
      <c r="X425" s="22">
        <v>260.0903096659614</v>
      </c>
      <c r="Y425" s="7"/>
      <c r="Z425" s="20"/>
      <c r="AA425" s="4">
        <v>161</v>
      </c>
      <c r="AB425" s="4">
        <v>200</v>
      </c>
      <c r="AC425" s="14">
        <f aca="true" t="shared" si="216" ref="AC425:AC433">(100*W425)/AA425-100</f>
        <v>61.546776190038145</v>
      </c>
      <c r="AD425" s="56">
        <v>224.0499597659614</v>
      </c>
      <c r="AE425" s="17">
        <f t="shared" si="176"/>
        <v>1.1608585421646453</v>
      </c>
    </row>
    <row r="426" spans="1:31" ht="15">
      <c r="A426" s="43" t="s">
        <v>845</v>
      </c>
      <c r="B426" s="31" t="s">
        <v>383</v>
      </c>
      <c r="C426" s="7">
        <v>572624</v>
      </c>
      <c r="D426" s="7">
        <v>1800</v>
      </c>
      <c r="E426" s="7">
        <v>6</v>
      </c>
      <c r="F426" s="8">
        <f t="shared" si="210"/>
        <v>31.812444444444445</v>
      </c>
      <c r="G426" s="37">
        <v>389340</v>
      </c>
      <c r="H426" s="7">
        <v>1800</v>
      </c>
      <c r="I426" s="7">
        <v>3</v>
      </c>
      <c r="J426" s="8">
        <f t="shared" si="211"/>
        <v>10.815</v>
      </c>
      <c r="K426" s="7">
        <f>'[2]Лист1'!$O$1000</f>
        <v>13000</v>
      </c>
      <c r="L426" s="7">
        <v>846721</v>
      </c>
      <c r="M426" s="7">
        <v>3</v>
      </c>
      <c r="N426" s="8">
        <f t="shared" si="212"/>
        <v>0.04606003630475682</v>
      </c>
      <c r="O426" s="8">
        <f t="shared" si="213"/>
        <v>42.6735044807492</v>
      </c>
      <c r="P426" s="8">
        <f t="shared" si="214"/>
        <v>12.887398353186258</v>
      </c>
      <c r="Q426" s="58">
        <f t="shared" si="177"/>
        <v>43.52697457036419</v>
      </c>
      <c r="R426" s="78">
        <f>7.38*2+0.36*2.5+1+8.7209+1.15*3+1.99*2+1.11+3.1</f>
        <v>37.0209</v>
      </c>
      <c r="S426" s="79">
        <v>37.0209</v>
      </c>
      <c r="T426" s="21">
        <f t="shared" si="178"/>
        <v>44.425079999999994</v>
      </c>
      <c r="U426" s="9">
        <f t="shared" si="186"/>
        <v>143.5590174406044</v>
      </c>
      <c r="V426" s="8">
        <f>U426*25%</f>
        <v>35.8897543601511</v>
      </c>
      <c r="W426" s="52">
        <f t="shared" si="215"/>
        <v>179.4487718007555</v>
      </c>
      <c r="X426" s="22">
        <v>179.4487718007555</v>
      </c>
      <c r="Y426" s="7"/>
      <c r="Z426" s="20"/>
      <c r="AA426" s="4">
        <v>161</v>
      </c>
      <c r="AB426" s="4">
        <v>200</v>
      </c>
      <c r="AC426" s="14">
        <f t="shared" si="216"/>
        <v>11.45886447251894</v>
      </c>
      <c r="AD426" s="56">
        <v>152.5771563007555</v>
      </c>
      <c r="AE426" s="17">
        <f t="shared" si="176"/>
        <v>1.176118208986878</v>
      </c>
    </row>
    <row r="427" spans="1:31" ht="15">
      <c r="A427" s="43" t="s">
        <v>846</v>
      </c>
      <c r="B427" s="31" t="s">
        <v>430</v>
      </c>
      <c r="C427" s="7">
        <v>572624</v>
      </c>
      <c r="D427" s="7">
        <v>1800</v>
      </c>
      <c r="E427" s="7">
        <v>11</v>
      </c>
      <c r="F427" s="8">
        <f aca="true" t="shared" si="217" ref="F427:F432">C427/D427/60*E427</f>
        <v>58.32281481481482</v>
      </c>
      <c r="G427" s="37">
        <v>389340</v>
      </c>
      <c r="H427" s="7">
        <v>1800</v>
      </c>
      <c r="I427" s="7">
        <v>9</v>
      </c>
      <c r="J427" s="8">
        <f t="shared" si="211"/>
        <v>32.445</v>
      </c>
      <c r="K427" s="7">
        <v>0</v>
      </c>
      <c r="L427" s="7">
        <v>1</v>
      </c>
      <c r="M427" s="7">
        <v>0</v>
      </c>
      <c r="N427" s="8">
        <f t="shared" si="212"/>
        <v>0</v>
      </c>
      <c r="O427" s="8">
        <f t="shared" si="213"/>
        <v>90.76781481481481</v>
      </c>
      <c r="P427" s="8">
        <f t="shared" si="214"/>
        <v>27.411880074074073</v>
      </c>
      <c r="Q427" s="58">
        <f aca="true" t="shared" si="218" ref="Q427:Q432">(O427)*102%</f>
        <v>92.58317111111111</v>
      </c>
      <c r="R427" s="78">
        <v>7.34</v>
      </c>
      <c r="S427" s="79">
        <v>7.34</v>
      </c>
      <c r="T427" s="21">
        <f t="shared" si="178"/>
        <v>8.808</v>
      </c>
      <c r="U427" s="9">
        <f t="shared" si="186"/>
        <v>219.570866</v>
      </c>
      <c r="V427" s="8">
        <v>0</v>
      </c>
      <c r="W427" s="52">
        <f t="shared" si="215"/>
        <v>219.570866</v>
      </c>
      <c r="X427" s="22">
        <v>219.570866</v>
      </c>
      <c r="Y427" s="7">
        <v>148.77</v>
      </c>
      <c r="Z427" s="20">
        <v>144</v>
      </c>
      <c r="AA427" s="4">
        <v>140</v>
      </c>
      <c r="AB427" s="4">
        <v>140</v>
      </c>
      <c r="AC427" s="14">
        <f t="shared" si="216"/>
        <v>56.83633285714285</v>
      </c>
      <c r="AD427" s="56">
        <v>188.29595055999997</v>
      </c>
      <c r="AE427" s="17">
        <f t="shared" si="176"/>
        <v>1.1660944664342867</v>
      </c>
    </row>
    <row r="428" spans="1:31" ht="15">
      <c r="A428" s="43" t="s">
        <v>868</v>
      </c>
      <c r="B428" s="31" t="s">
        <v>431</v>
      </c>
      <c r="C428" s="7">
        <v>572624</v>
      </c>
      <c r="D428" s="7">
        <v>1800</v>
      </c>
      <c r="E428" s="7">
        <v>25</v>
      </c>
      <c r="F428" s="8">
        <f t="shared" si="217"/>
        <v>132.55185185185186</v>
      </c>
      <c r="G428" s="37">
        <v>389340</v>
      </c>
      <c r="H428" s="7">
        <v>1800</v>
      </c>
      <c r="I428" s="7">
        <v>14</v>
      </c>
      <c r="J428" s="8">
        <f t="shared" si="211"/>
        <v>50.47</v>
      </c>
      <c r="K428" s="7">
        <v>0</v>
      </c>
      <c r="L428" s="7">
        <v>1</v>
      </c>
      <c r="M428" s="7">
        <v>0</v>
      </c>
      <c r="N428" s="8">
        <f t="shared" si="212"/>
        <v>0</v>
      </c>
      <c r="O428" s="8">
        <f t="shared" si="213"/>
        <v>183.02185185185186</v>
      </c>
      <c r="P428" s="8">
        <f t="shared" si="214"/>
        <v>55.27259925925926</v>
      </c>
      <c r="Q428" s="58">
        <f t="shared" si="218"/>
        <v>186.6822888888889</v>
      </c>
      <c r="R428" s="78">
        <v>7.34</v>
      </c>
      <c r="S428" s="79">
        <v>7.34</v>
      </c>
      <c r="T428" s="21">
        <f t="shared" si="178"/>
        <v>8.808</v>
      </c>
      <c r="U428" s="9">
        <f t="shared" si="186"/>
        <v>433.78474000000006</v>
      </c>
      <c r="V428" s="8">
        <v>0</v>
      </c>
      <c r="W428" s="52">
        <f t="shared" si="215"/>
        <v>433.78474000000006</v>
      </c>
      <c r="X428" s="22">
        <v>433.78474000000006</v>
      </c>
      <c r="Y428" s="7">
        <v>324.81</v>
      </c>
      <c r="Z428" s="20">
        <v>150</v>
      </c>
      <c r="AA428" s="4">
        <v>148</v>
      </c>
      <c r="AB428" s="4">
        <v>148</v>
      </c>
      <c r="AC428" s="14">
        <f t="shared" si="216"/>
        <v>193.0977972972973</v>
      </c>
      <c r="AD428" s="56">
        <v>373.46421552000004</v>
      </c>
      <c r="AE428" s="17">
        <f t="shared" si="176"/>
        <v>1.161516209514241</v>
      </c>
    </row>
    <row r="429" spans="1:31" ht="15">
      <c r="A429" s="43" t="s">
        <v>869</v>
      </c>
      <c r="B429" s="31" t="s">
        <v>432</v>
      </c>
      <c r="C429" s="7">
        <v>572624</v>
      </c>
      <c r="D429" s="7">
        <v>1800</v>
      </c>
      <c r="E429" s="7">
        <v>15</v>
      </c>
      <c r="F429" s="8">
        <f t="shared" si="217"/>
        <v>79.53111111111112</v>
      </c>
      <c r="G429" s="37">
        <v>389340</v>
      </c>
      <c r="H429" s="7">
        <v>1800</v>
      </c>
      <c r="I429" s="7">
        <v>12</v>
      </c>
      <c r="J429" s="8">
        <f t="shared" si="211"/>
        <v>43.26</v>
      </c>
      <c r="K429" s="7">
        <v>0</v>
      </c>
      <c r="L429" s="7">
        <v>1</v>
      </c>
      <c r="M429" s="7">
        <v>0</v>
      </c>
      <c r="N429" s="8">
        <f t="shared" si="212"/>
        <v>0</v>
      </c>
      <c r="O429" s="8">
        <f t="shared" si="213"/>
        <v>122.79111111111112</v>
      </c>
      <c r="P429" s="8">
        <f t="shared" si="214"/>
        <v>37.08291555555556</v>
      </c>
      <c r="Q429" s="58">
        <f t="shared" si="218"/>
        <v>125.24693333333335</v>
      </c>
      <c r="R429" s="78">
        <v>7.34</v>
      </c>
      <c r="S429" s="76">
        <v>7.34</v>
      </c>
      <c r="T429" s="21">
        <f t="shared" si="178"/>
        <v>8.808</v>
      </c>
      <c r="U429" s="9">
        <f t="shared" si="186"/>
        <v>293.92896</v>
      </c>
      <c r="V429" s="8">
        <v>0</v>
      </c>
      <c r="W429" s="52">
        <f t="shared" si="215"/>
        <v>293.92896</v>
      </c>
      <c r="X429" s="22">
        <v>293.92896</v>
      </c>
      <c r="Y429" s="7">
        <v>200</v>
      </c>
      <c r="Z429" s="20">
        <v>356</v>
      </c>
      <c r="AA429" s="4">
        <v>356</v>
      </c>
      <c r="AB429" s="4">
        <v>450</v>
      </c>
      <c r="AC429" s="14">
        <f t="shared" si="216"/>
        <v>-17.435685393258424</v>
      </c>
      <c r="AD429" s="56">
        <v>253.46465904000004</v>
      </c>
      <c r="AE429" s="17">
        <f t="shared" si="176"/>
        <v>1.159644745398664</v>
      </c>
    </row>
    <row r="430" spans="1:31" ht="15">
      <c r="A430" s="43" t="s">
        <v>870</v>
      </c>
      <c r="B430" s="31" t="s">
        <v>433</v>
      </c>
      <c r="C430" s="7">
        <v>572624</v>
      </c>
      <c r="D430" s="7">
        <v>1800</v>
      </c>
      <c r="E430" s="7">
        <v>20</v>
      </c>
      <c r="F430" s="8">
        <f t="shared" si="217"/>
        <v>106.04148148148148</v>
      </c>
      <c r="G430" s="37">
        <v>389340</v>
      </c>
      <c r="H430" s="7">
        <v>1800</v>
      </c>
      <c r="I430" s="7">
        <v>12</v>
      </c>
      <c r="J430" s="8">
        <f t="shared" si="211"/>
        <v>43.26</v>
      </c>
      <c r="K430" s="7">
        <v>0</v>
      </c>
      <c r="L430" s="7">
        <v>1</v>
      </c>
      <c r="M430" s="7">
        <v>0</v>
      </c>
      <c r="N430" s="8">
        <f t="shared" si="212"/>
        <v>0</v>
      </c>
      <c r="O430" s="8">
        <f t="shared" si="213"/>
        <v>149.3014814814815</v>
      </c>
      <c r="P430" s="8">
        <f t="shared" si="214"/>
        <v>45.089047407407406</v>
      </c>
      <c r="Q430" s="58">
        <f t="shared" si="218"/>
        <v>152.28751111111112</v>
      </c>
      <c r="R430" s="78">
        <v>7.34</v>
      </c>
      <c r="S430" s="76">
        <v>7.34</v>
      </c>
      <c r="T430" s="21">
        <f t="shared" si="178"/>
        <v>8.808</v>
      </c>
      <c r="U430" s="9">
        <f t="shared" si="186"/>
        <v>355.48604</v>
      </c>
      <c r="V430" s="8">
        <v>0</v>
      </c>
      <c r="W430" s="52">
        <f t="shared" si="215"/>
        <v>355.48604</v>
      </c>
      <c r="X430" s="22">
        <v>355.48604</v>
      </c>
      <c r="Y430" s="7">
        <v>240</v>
      </c>
      <c r="Z430" s="20">
        <v>189</v>
      </c>
      <c r="AA430" s="4">
        <v>161</v>
      </c>
      <c r="AB430" s="4">
        <v>200</v>
      </c>
      <c r="AC430" s="14">
        <f t="shared" si="216"/>
        <v>120.79878260869566</v>
      </c>
      <c r="AD430" s="56">
        <v>304.92565552</v>
      </c>
      <c r="AE430" s="17">
        <f t="shared" si="176"/>
        <v>1.1658121695066217</v>
      </c>
    </row>
    <row r="431" spans="1:31" ht="15">
      <c r="A431" s="43" t="s">
        <v>871</v>
      </c>
      <c r="B431" s="31" t="s">
        <v>434</v>
      </c>
      <c r="C431" s="7">
        <v>572624</v>
      </c>
      <c r="D431" s="7">
        <v>1800</v>
      </c>
      <c r="E431" s="7">
        <v>20</v>
      </c>
      <c r="F431" s="8">
        <f t="shared" si="217"/>
        <v>106.04148148148148</v>
      </c>
      <c r="G431" s="37">
        <v>389340</v>
      </c>
      <c r="H431" s="7">
        <v>1800</v>
      </c>
      <c r="I431" s="7">
        <v>12</v>
      </c>
      <c r="J431" s="8">
        <f t="shared" si="211"/>
        <v>43.26</v>
      </c>
      <c r="K431" s="7">
        <v>0</v>
      </c>
      <c r="L431" s="7">
        <v>1</v>
      </c>
      <c r="M431" s="7">
        <v>0</v>
      </c>
      <c r="N431" s="8">
        <f t="shared" si="212"/>
        <v>0</v>
      </c>
      <c r="O431" s="8">
        <f t="shared" si="213"/>
        <v>149.3014814814815</v>
      </c>
      <c r="P431" s="8">
        <f t="shared" si="214"/>
        <v>45.089047407407406</v>
      </c>
      <c r="Q431" s="58">
        <f t="shared" si="218"/>
        <v>152.28751111111112</v>
      </c>
      <c r="R431" s="78">
        <v>7.34</v>
      </c>
      <c r="S431" s="76">
        <v>7.34</v>
      </c>
      <c r="T431" s="21">
        <f t="shared" si="178"/>
        <v>8.808</v>
      </c>
      <c r="U431" s="9">
        <f t="shared" si="186"/>
        <v>355.48604</v>
      </c>
      <c r="V431" s="8">
        <v>0</v>
      </c>
      <c r="W431" s="52">
        <f t="shared" si="215"/>
        <v>355.48604</v>
      </c>
      <c r="X431" s="22">
        <v>355.48604</v>
      </c>
      <c r="Y431" s="7">
        <v>240</v>
      </c>
      <c r="Z431" s="20"/>
      <c r="AA431" s="4">
        <v>161</v>
      </c>
      <c r="AB431" s="4">
        <v>200</v>
      </c>
      <c r="AC431" s="14">
        <f t="shared" si="216"/>
        <v>120.79878260869566</v>
      </c>
      <c r="AD431" s="56">
        <v>304.92565552</v>
      </c>
      <c r="AE431" s="17">
        <f t="shared" si="176"/>
        <v>1.1658121695066217</v>
      </c>
    </row>
    <row r="432" spans="1:31" ht="15">
      <c r="A432" s="43" t="s">
        <v>872</v>
      </c>
      <c r="B432" s="31" t="s">
        <v>436</v>
      </c>
      <c r="C432" s="7">
        <v>572624</v>
      </c>
      <c r="D432" s="7">
        <v>1800</v>
      </c>
      <c r="E432" s="7">
        <v>15</v>
      </c>
      <c r="F432" s="8">
        <f t="shared" si="217"/>
        <v>79.53111111111112</v>
      </c>
      <c r="G432" s="37">
        <v>389340</v>
      </c>
      <c r="H432" s="7">
        <v>1800</v>
      </c>
      <c r="I432" s="7">
        <v>10</v>
      </c>
      <c r="J432" s="8">
        <f t="shared" si="211"/>
        <v>36.05</v>
      </c>
      <c r="K432" s="7">
        <v>0</v>
      </c>
      <c r="L432" s="7">
        <v>1</v>
      </c>
      <c r="M432" s="7">
        <v>0</v>
      </c>
      <c r="N432" s="8">
        <f t="shared" si="212"/>
        <v>0</v>
      </c>
      <c r="O432" s="8">
        <f t="shared" si="213"/>
        <v>115.58111111111111</v>
      </c>
      <c r="P432" s="8">
        <f t="shared" si="214"/>
        <v>34.905495555555554</v>
      </c>
      <c r="Q432" s="58">
        <f t="shared" si="218"/>
        <v>117.89273333333334</v>
      </c>
      <c r="R432" s="78">
        <v>7.34</v>
      </c>
      <c r="S432" s="76">
        <v>7.34</v>
      </c>
      <c r="T432" s="21">
        <f t="shared" si="178"/>
        <v>8.808</v>
      </c>
      <c r="U432" s="9">
        <f t="shared" si="186"/>
        <v>277.18734</v>
      </c>
      <c r="V432" s="8">
        <v>0</v>
      </c>
      <c r="W432" s="52">
        <f t="shared" si="215"/>
        <v>277.18734</v>
      </c>
      <c r="X432" s="22">
        <v>277.18734</v>
      </c>
      <c r="Y432" s="7">
        <v>190</v>
      </c>
      <c r="Z432" s="20"/>
      <c r="AA432" s="4">
        <v>161</v>
      </c>
      <c r="AB432" s="4">
        <v>200</v>
      </c>
      <c r="AC432" s="14">
        <f t="shared" si="216"/>
        <v>72.166049689441</v>
      </c>
      <c r="AD432" s="56">
        <v>240.59940992</v>
      </c>
      <c r="AE432" s="17">
        <f t="shared" si="176"/>
        <v>1.1520699077864138</v>
      </c>
    </row>
    <row r="433" spans="1:31" ht="15">
      <c r="A433" s="43" t="s">
        <v>873</v>
      </c>
      <c r="B433" s="31" t="s">
        <v>437</v>
      </c>
      <c r="C433" s="7">
        <v>572624</v>
      </c>
      <c r="D433" s="7">
        <v>1800</v>
      </c>
      <c r="E433" s="7">
        <v>15</v>
      </c>
      <c r="F433" s="8">
        <f>C433/D433/60*E433</f>
        <v>79.53111111111112</v>
      </c>
      <c r="G433" s="37">
        <v>389340</v>
      </c>
      <c r="H433" s="7">
        <v>1800</v>
      </c>
      <c r="I433" s="7">
        <v>15</v>
      </c>
      <c r="J433" s="8">
        <f t="shared" si="211"/>
        <v>54.075</v>
      </c>
      <c r="K433" s="7">
        <v>0</v>
      </c>
      <c r="L433" s="7">
        <v>1</v>
      </c>
      <c r="M433" s="7">
        <v>0</v>
      </c>
      <c r="N433" s="8">
        <f t="shared" si="212"/>
        <v>0</v>
      </c>
      <c r="O433" s="8">
        <f t="shared" si="213"/>
        <v>133.60611111111112</v>
      </c>
      <c r="P433" s="8">
        <f t="shared" si="214"/>
        <v>40.349045555555556</v>
      </c>
      <c r="Q433" s="58">
        <f>(O433)*102%</f>
        <v>136.27823333333333</v>
      </c>
      <c r="R433" s="78">
        <v>7.34</v>
      </c>
      <c r="S433" s="76">
        <v>7.34</v>
      </c>
      <c r="T433" s="21">
        <f t="shared" si="178"/>
        <v>8.808</v>
      </c>
      <c r="U433" s="9">
        <f t="shared" si="186"/>
        <v>319.04139</v>
      </c>
      <c r="V433" s="8">
        <v>0</v>
      </c>
      <c r="W433" s="52">
        <f t="shared" si="215"/>
        <v>319.04139</v>
      </c>
      <c r="X433" s="22">
        <v>319.04139</v>
      </c>
      <c r="Y433" s="7">
        <v>220</v>
      </c>
      <c r="Z433" s="20"/>
      <c r="AA433" s="4">
        <v>161</v>
      </c>
      <c r="AB433" s="4">
        <v>200</v>
      </c>
      <c r="AC433" s="14">
        <f t="shared" si="216"/>
        <v>98.16235403726708</v>
      </c>
      <c r="AD433" s="56">
        <v>274.86868992</v>
      </c>
      <c r="AE433" s="17">
        <f t="shared" si="176"/>
        <v>1.160704735387855</v>
      </c>
    </row>
    <row r="434" spans="1:31" ht="50.25" customHeight="1">
      <c r="A434" s="43" t="s">
        <v>874</v>
      </c>
      <c r="B434" s="31" t="s">
        <v>442</v>
      </c>
      <c r="C434" s="7">
        <v>572624</v>
      </c>
      <c r="D434" s="7">
        <v>1650</v>
      </c>
      <c r="E434" s="7">
        <v>25</v>
      </c>
      <c r="F434" s="8">
        <f>C434/D434/60*E434</f>
        <v>144.60202020202019</v>
      </c>
      <c r="G434" s="37">
        <v>389340</v>
      </c>
      <c r="H434" s="7">
        <v>1925</v>
      </c>
      <c r="I434" s="7">
        <v>16</v>
      </c>
      <c r="J434" s="8">
        <f t="shared" si="211"/>
        <v>53.93454545454545</v>
      </c>
      <c r="K434" s="7">
        <v>0</v>
      </c>
      <c r="L434" s="7">
        <v>1</v>
      </c>
      <c r="M434" s="7">
        <v>0</v>
      </c>
      <c r="N434" s="8">
        <f>K434/L434*M434</f>
        <v>0</v>
      </c>
      <c r="O434" s="8">
        <f>F434+J434+N434</f>
        <v>198.53656565656564</v>
      </c>
      <c r="P434" s="8">
        <f t="shared" si="214"/>
        <v>59.95804282828282</v>
      </c>
      <c r="Q434" s="58">
        <f>(O434)*102%</f>
        <v>202.50729696969697</v>
      </c>
      <c r="R434" s="78">
        <v>7.34</v>
      </c>
      <c r="S434" s="79">
        <v>7.34</v>
      </c>
      <c r="T434" s="21">
        <f t="shared" si="178"/>
        <v>8.808</v>
      </c>
      <c r="U434" s="9">
        <f t="shared" si="186"/>
        <v>469.8099054545454</v>
      </c>
      <c r="V434" s="8">
        <v>0</v>
      </c>
      <c r="W434" s="52">
        <f>U434+V434</f>
        <v>469.8099054545454</v>
      </c>
      <c r="X434" s="22">
        <v>469.8099054545454</v>
      </c>
      <c r="Y434" s="7"/>
      <c r="Z434" s="20">
        <v>321</v>
      </c>
      <c r="AA434" s="4">
        <v>466</v>
      </c>
      <c r="AB434" s="4">
        <v>300</v>
      </c>
      <c r="AC434" s="14">
        <f>(100*W434)/AA434-100</f>
        <v>0.8175762777994322</v>
      </c>
      <c r="AD434" s="56">
        <v>404.16777084675317</v>
      </c>
      <c r="AE434" s="17">
        <f t="shared" si="176"/>
        <v>1.162413085215252</v>
      </c>
    </row>
    <row r="435" spans="1:31" s="6" customFormat="1" ht="15">
      <c r="A435" s="43"/>
      <c r="B435" s="85" t="s">
        <v>338</v>
      </c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7"/>
      <c r="S435" s="87"/>
      <c r="T435" s="86"/>
      <c r="U435" s="86"/>
      <c r="V435" s="86"/>
      <c r="W435" s="88"/>
      <c r="X435" s="23"/>
      <c r="Y435" s="21"/>
      <c r="Z435" s="20"/>
      <c r="AA435" s="4"/>
      <c r="AB435" s="4"/>
      <c r="AC435" s="14"/>
      <c r="AD435" s="66"/>
      <c r="AE435" s="17"/>
    </row>
    <row r="436" spans="1:31" ht="15">
      <c r="A436" s="43" t="s">
        <v>875</v>
      </c>
      <c r="B436" s="31" t="s">
        <v>28</v>
      </c>
      <c r="C436" s="7">
        <v>572624</v>
      </c>
      <c r="D436" s="7">
        <v>1650</v>
      </c>
      <c r="E436" s="7">
        <v>7</v>
      </c>
      <c r="F436" s="8">
        <f aca="true" t="shared" si="219" ref="F436:F461">C436/D436/60*E436</f>
        <v>40.488565656565655</v>
      </c>
      <c r="G436" s="37">
        <v>389340</v>
      </c>
      <c r="H436" s="7">
        <v>1925</v>
      </c>
      <c r="I436" s="7">
        <v>3</v>
      </c>
      <c r="J436" s="8">
        <f aca="true" t="shared" si="220" ref="J436:J461">G436/H436/60*I436</f>
        <v>10.112727272727271</v>
      </c>
      <c r="K436" s="7">
        <v>458430</v>
      </c>
      <c r="L436" s="7">
        <v>846721</v>
      </c>
      <c r="M436" s="7">
        <v>10</v>
      </c>
      <c r="N436" s="8">
        <f t="shared" si="180"/>
        <v>5.414180113638377</v>
      </c>
      <c r="O436" s="8">
        <f aca="true" t="shared" si="221" ref="O436:O473">F436+J436+N436</f>
        <v>56.015473042931305</v>
      </c>
      <c r="P436" s="8">
        <f>O436*0.302</f>
        <v>16.916672858965253</v>
      </c>
      <c r="Q436" s="58">
        <f>(O436)*102%</f>
        <v>57.13578250378993</v>
      </c>
      <c r="R436" s="78">
        <f>46.5+2.3+7.38</f>
        <v>56.18</v>
      </c>
      <c r="S436" s="79">
        <v>56.18</v>
      </c>
      <c r="T436" s="21">
        <f t="shared" si="178"/>
        <v>67.416</v>
      </c>
      <c r="U436" s="9">
        <f t="shared" si="186"/>
        <v>202.89810851932486</v>
      </c>
      <c r="V436" s="8">
        <f>U436*25%</f>
        <v>50.724527129831216</v>
      </c>
      <c r="W436" s="52">
        <f aca="true" t="shared" si="222" ref="W436:W473">U436+V436</f>
        <v>253.62263564915608</v>
      </c>
      <c r="X436" s="22"/>
      <c r="Y436" s="7"/>
      <c r="Z436" s="20">
        <v>202</v>
      </c>
      <c r="AA436" s="4">
        <v>66</v>
      </c>
      <c r="AB436" s="4">
        <v>200</v>
      </c>
      <c r="AC436" s="14">
        <f>(100*W436)/AA436-100</f>
        <v>284.2767206805395</v>
      </c>
      <c r="AD436" s="56">
        <v>217.20625461019506</v>
      </c>
      <c r="AE436" s="17">
        <f t="shared" si="176"/>
        <v>1.1676580681542295</v>
      </c>
    </row>
    <row r="437" spans="1:31" ht="15">
      <c r="A437" s="43" t="s">
        <v>876</v>
      </c>
      <c r="B437" s="31" t="s">
        <v>29</v>
      </c>
      <c r="C437" s="7">
        <v>572624</v>
      </c>
      <c r="D437" s="7">
        <v>1650</v>
      </c>
      <c r="E437" s="7">
        <v>5</v>
      </c>
      <c r="F437" s="8">
        <f t="shared" si="219"/>
        <v>28.92040404040404</v>
      </c>
      <c r="G437" s="37">
        <v>389340</v>
      </c>
      <c r="H437" s="7">
        <v>1925</v>
      </c>
      <c r="I437" s="7">
        <v>1</v>
      </c>
      <c r="J437" s="8">
        <f t="shared" si="220"/>
        <v>3.3709090909090906</v>
      </c>
      <c r="K437" s="7">
        <v>458430</v>
      </c>
      <c r="L437" s="7">
        <v>846721</v>
      </c>
      <c r="M437" s="7">
        <v>5</v>
      </c>
      <c r="N437" s="8">
        <f t="shared" si="180"/>
        <v>2.7070900568191885</v>
      </c>
      <c r="O437" s="8">
        <f t="shared" si="221"/>
        <v>34.99840318813232</v>
      </c>
      <c r="P437" s="8">
        <f>O437*0.302</f>
        <v>10.569517762815961</v>
      </c>
      <c r="Q437" s="58">
        <f aca="true" t="shared" si="223" ref="Q437:Q473">(O437)*102%</f>
        <v>35.69837125189497</v>
      </c>
      <c r="R437" s="78">
        <f>46.5+2.3+7.38</f>
        <v>56.18</v>
      </c>
      <c r="S437" s="76">
        <v>56.18</v>
      </c>
      <c r="T437" s="21">
        <f t="shared" si="178"/>
        <v>67.416</v>
      </c>
      <c r="U437" s="9">
        <f t="shared" si="186"/>
        <v>151.38938225966245</v>
      </c>
      <c r="V437" s="8">
        <f>U437*25%</f>
        <v>37.847345564915614</v>
      </c>
      <c r="W437" s="52">
        <f t="shared" si="222"/>
        <v>189.23672782457805</v>
      </c>
      <c r="X437" s="22"/>
      <c r="Y437" s="7"/>
      <c r="Z437" s="20">
        <v>112</v>
      </c>
      <c r="AA437" s="4">
        <v>55</v>
      </c>
      <c r="AB437" s="4">
        <v>150</v>
      </c>
      <c r="AC437" s="14">
        <f>(100*W437)/AA437-100</f>
        <v>244.06677786286917</v>
      </c>
      <c r="AD437" s="56">
        <v>161.47179042198064</v>
      </c>
      <c r="AE437" s="17">
        <f t="shared" si="176"/>
        <v>1.1719491517994456</v>
      </c>
    </row>
    <row r="438" spans="1:31" ht="15">
      <c r="A438" s="43" t="s">
        <v>877</v>
      </c>
      <c r="B438" s="31" t="s">
        <v>275</v>
      </c>
      <c r="C438" s="7">
        <v>572624</v>
      </c>
      <c r="D438" s="7">
        <v>1650</v>
      </c>
      <c r="E438" s="7">
        <v>7</v>
      </c>
      <c r="F438" s="8">
        <f t="shared" si="219"/>
        <v>40.488565656565655</v>
      </c>
      <c r="G438" s="37">
        <v>389340</v>
      </c>
      <c r="H438" s="7">
        <v>1925</v>
      </c>
      <c r="I438" s="7">
        <v>3</v>
      </c>
      <c r="J438" s="8">
        <f t="shared" si="220"/>
        <v>10.112727272727271</v>
      </c>
      <c r="K438" s="7">
        <f>348+K437</f>
        <v>458778</v>
      </c>
      <c r="L438" s="7">
        <v>846721</v>
      </c>
      <c r="M438" s="7">
        <v>5</v>
      </c>
      <c r="N438" s="8">
        <f t="shared" si="180"/>
        <v>2.7091450430543236</v>
      </c>
      <c r="O438" s="8">
        <f t="shared" si="221"/>
        <v>53.310437972347245</v>
      </c>
      <c r="P438" s="8">
        <f aca="true" t="shared" si="224" ref="P438:P473">O438*0.302</f>
        <v>16.099752267648867</v>
      </c>
      <c r="Q438" s="58">
        <f t="shared" si="223"/>
        <v>54.37664673179419</v>
      </c>
      <c r="R438" s="78">
        <f>46.5+2.3+7.38+9*2+2.5*2+2.28</f>
        <v>81.46000000000001</v>
      </c>
      <c r="S438" s="76">
        <v>81.46000000000001</v>
      </c>
      <c r="T438" s="21">
        <f t="shared" si="178"/>
        <v>97.75200000000001</v>
      </c>
      <c r="U438" s="9">
        <f t="shared" si="186"/>
        <v>224.24798201484464</v>
      </c>
      <c r="V438" s="8">
        <f aca="true" t="shared" si="225" ref="V438:V461">U438*25%</f>
        <v>56.06199550371116</v>
      </c>
      <c r="W438" s="52">
        <f t="shared" si="222"/>
        <v>280.3099775185558</v>
      </c>
      <c r="X438" s="22"/>
      <c r="Y438" s="7"/>
      <c r="Z438" s="20">
        <v>141</v>
      </c>
      <c r="AA438" s="4">
        <v>91</v>
      </c>
      <c r="AB438" s="4">
        <v>200</v>
      </c>
      <c r="AC438" s="14">
        <f>(100*W438)/AA438-100</f>
        <v>208.03294232808327</v>
      </c>
      <c r="AD438" s="56">
        <v>237.57359647959476</v>
      </c>
      <c r="AE438" s="17">
        <f aca="true" t="shared" si="226" ref="AE438:AE473">W438/AD438</f>
        <v>1.1798869136648007</v>
      </c>
    </row>
    <row r="439" spans="1:31" ht="15">
      <c r="A439" s="43" t="s">
        <v>878</v>
      </c>
      <c r="B439" s="31" t="s">
        <v>129</v>
      </c>
      <c r="C439" s="7">
        <v>572624</v>
      </c>
      <c r="D439" s="7">
        <v>1650</v>
      </c>
      <c r="E439" s="7">
        <v>6</v>
      </c>
      <c r="F439" s="8">
        <f t="shared" si="219"/>
        <v>34.704484848484846</v>
      </c>
      <c r="G439" s="37">
        <v>389340</v>
      </c>
      <c r="H439" s="7">
        <v>1925</v>
      </c>
      <c r="I439" s="7">
        <v>3</v>
      </c>
      <c r="J439" s="8">
        <f t="shared" si="220"/>
        <v>10.112727272727271</v>
      </c>
      <c r="K439" s="7">
        <f>458430+2.6</f>
        <v>458432.6</v>
      </c>
      <c r="L439" s="7">
        <v>846721</v>
      </c>
      <c r="M439" s="7">
        <v>5</v>
      </c>
      <c r="N439" s="8">
        <f t="shared" si="180"/>
        <v>2.707105410164623</v>
      </c>
      <c r="O439" s="8">
        <f t="shared" si="221"/>
        <v>47.52431753137674</v>
      </c>
      <c r="P439" s="8">
        <f t="shared" si="224"/>
        <v>14.352343894475775</v>
      </c>
      <c r="Q439" s="58">
        <f t="shared" si="223"/>
        <v>48.474803882004274</v>
      </c>
      <c r="R439" s="78">
        <f>46.5+2.3+7.38+85</f>
        <v>141.18</v>
      </c>
      <c r="S439" s="76">
        <v>141.18</v>
      </c>
      <c r="T439" s="21">
        <f t="shared" si="178"/>
        <v>169.416</v>
      </c>
      <c r="U439" s="9">
        <f t="shared" si="186"/>
        <v>282.47457071802137</v>
      </c>
      <c r="V439" s="8">
        <f t="shared" si="225"/>
        <v>70.61864267950534</v>
      </c>
      <c r="W439" s="52">
        <f t="shared" si="222"/>
        <v>353.0932133975267</v>
      </c>
      <c r="X439" s="22"/>
      <c r="Y439" s="7"/>
      <c r="Z439" s="20">
        <v>77</v>
      </c>
      <c r="AA439" s="4">
        <v>66</v>
      </c>
      <c r="AB439" s="4">
        <v>66</v>
      </c>
      <c r="AC439" s="14">
        <f>(100*W439)/AA439-100</f>
        <v>434.9897172689798</v>
      </c>
      <c r="AD439" s="56">
        <v>303.3164723585657</v>
      </c>
      <c r="AE439" s="17">
        <f t="shared" si="226"/>
        <v>1.164108268343954</v>
      </c>
    </row>
    <row r="440" spans="1:31" ht="30">
      <c r="A440" s="43" t="s">
        <v>879</v>
      </c>
      <c r="B440" s="31" t="s">
        <v>285</v>
      </c>
      <c r="C440" s="7">
        <v>572624</v>
      </c>
      <c r="D440" s="7">
        <v>1650</v>
      </c>
      <c r="E440" s="7">
        <v>45</v>
      </c>
      <c r="F440" s="8">
        <f t="shared" si="219"/>
        <v>260.28363636363633</v>
      </c>
      <c r="G440" s="37">
        <v>389340</v>
      </c>
      <c r="H440" s="7">
        <v>1925</v>
      </c>
      <c r="I440" s="7">
        <v>35</v>
      </c>
      <c r="J440" s="8">
        <f t="shared" si="220"/>
        <v>117.98181818181817</v>
      </c>
      <c r="K440" s="7">
        <f>458430+2.6+11735+12000</f>
        <v>482167.6</v>
      </c>
      <c r="L440" s="7">
        <v>846721</v>
      </c>
      <c r="M440" s="7">
        <v>60</v>
      </c>
      <c r="N440" s="8">
        <f t="shared" si="180"/>
        <v>34.16716486304225</v>
      </c>
      <c r="O440" s="8">
        <f t="shared" si="221"/>
        <v>412.4326194084968</v>
      </c>
      <c r="P440" s="8">
        <f t="shared" si="224"/>
        <v>124.55465106136603</v>
      </c>
      <c r="Q440" s="58">
        <f t="shared" si="223"/>
        <v>420.68127179666675</v>
      </c>
      <c r="R440" s="78">
        <f>46.5+2.3+7.38*2+37.6*5+506.6*0.3+262.5*0.4+265.6+1.65+0.23*6+1.11+1.28*5+1.25*2</f>
        <v>787.18</v>
      </c>
      <c r="S440" s="76">
        <v>787.18</v>
      </c>
      <c r="T440" s="21">
        <f aca="true" t="shared" si="227" ref="T440:T473">S440*1.2</f>
        <v>944.6159999999999</v>
      </c>
      <c r="U440" s="9">
        <f t="shared" si="186"/>
        <v>1936.4517071295718</v>
      </c>
      <c r="V440" s="8">
        <f t="shared" si="225"/>
        <v>484.11292678239295</v>
      </c>
      <c r="W440" s="52">
        <f t="shared" si="222"/>
        <v>2420.564633911965</v>
      </c>
      <c r="X440" s="22"/>
      <c r="Y440" s="7"/>
      <c r="Z440" s="20">
        <v>1740</v>
      </c>
      <c r="AB440" s="4">
        <v>1514</v>
      </c>
      <c r="AC440" s="14"/>
      <c r="AD440" s="56">
        <v>2094.902286119757</v>
      </c>
      <c r="AE440" s="17">
        <f t="shared" si="226"/>
        <v>1.155454672014994</v>
      </c>
    </row>
    <row r="441" spans="1:31" ht="15">
      <c r="A441" s="43" t="s">
        <v>880</v>
      </c>
      <c r="B441" s="31" t="s">
        <v>339</v>
      </c>
      <c r="C441" s="7">
        <v>572624</v>
      </c>
      <c r="D441" s="7">
        <v>1650</v>
      </c>
      <c r="E441" s="7">
        <v>25</v>
      </c>
      <c r="F441" s="8">
        <f t="shared" si="219"/>
        <v>144.60202020202019</v>
      </c>
      <c r="G441" s="37">
        <v>389340</v>
      </c>
      <c r="H441" s="7">
        <v>1925</v>
      </c>
      <c r="I441" s="7">
        <v>10</v>
      </c>
      <c r="J441" s="8">
        <f t="shared" si="220"/>
        <v>33.709090909090904</v>
      </c>
      <c r="K441" s="7">
        <f>458430+2.6+11735+12000</f>
        <v>482167.6</v>
      </c>
      <c r="L441" s="7">
        <v>846721</v>
      </c>
      <c r="M441" s="7">
        <v>35</v>
      </c>
      <c r="N441" s="8">
        <f t="shared" si="180"/>
        <v>19.93084617010798</v>
      </c>
      <c r="O441" s="8">
        <f t="shared" si="221"/>
        <v>198.24195728121904</v>
      </c>
      <c r="P441" s="8">
        <f t="shared" si="224"/>
        <v>59.86907109892815</v>
      </c>
      <c r="Q441" s="58">
        <f t="shared" si="223"/>
        <v>202.20679642684343</v>
      </c>
      <c r="R441" s="78">
        <f>46.5+2.3*2+14*2+0.23*4+1.5*3+61.5+1.11</f>
        <v>147.13</v>
      </c>
      <c r="S441" s="76">
        <v>147.13</v>
      </c>
      <c r="T441" s="21">
        <f t="shared" si="227"/>
        <v>176.55599999999998</v>
      </c>
      <c r="U441" s="9">
        <f t="shared" si="186"/>
        <v>656.8046709770986</v>
      </c>
      <c r="V441" s="8">
        <f t="shared" si="225"/>
        <v>164.20116774427464</v>
      </c>
      <c r="W441" s="52">
        <f t="shared" si="222"/>
        <v>821.0058387213733</v>
      </c>
      <c r="X441" s="22"/>
      <c r="Y441" s="7"/>
      <c r="Z441" s="20">
        <v>478</v>
      </c>
      <c r="AA441" s="4">
        <v>431</v>
      </c>
      <c r="AB441" s="4">
        <v>431</v>
      </c>
      <c r="AC441" s="14">
        <f>(100*W441)/AA441-100</f>
        <v>90.48859367085228</v>
      </c>
      <c r="AD441" s="56">
        <v>693.6461730070876</v>
      </c>
      <c r="AE441" s="17">
        <f t="shared" si="226"/>
        <v>1.1836089791458915</v>
      </c>
    </row>
    <row r="442" spans="1:31" ht="15">
      <c r="A442" s="43" t="s">
        <v>881</v>
      </c>
      <c r="B442" s="31" t="s">
        <v>276</v>
      </c>
      <c r="C442" s="7">
        <v>572624</v>
      </c>
      <c r="D442" s="7">
        <v>1650</v>
      </c>
      <c r="E442" s="7">
        <v>20</v>
      </c>
      <c r="F442" s="8">
        <f t="shared" si="219"/>
        <v>115.68161616161616</v>
      </c>
      <c r="G442" s="37">
        <v>389340</v>
      </c>
      <c r="H442" s="7">
        <v>1925</v>
      </c>
      <c r="I442" s="7">
        <v>15</v>
      </c>
      <c r="J442" s="8">
        <f t="shared" si="220"/>
        <v>50.56363636363636</v>
      </c>
      <c r="K442" s="7">
        <f>458430+2.6+11735+12000+50000+52800</f>
        <v>584967.6</v>
      </c>
      <c r="L442" s="7">
        <v>846721</v>
      </c>
      <c r="M442" s="7">
        <v>30</v>
      </c>
      <c r="N442" s="8">
        <f t="shared" si="180"/>
        <v>20.725868379312665</v>
      </c>
      <c r="O442" s="8">
        <f t="shared" si="221"/>
        <v>186.97112090456517</v>
      </c>
      <c r="P442" s="8">
        <f t="shared" si="224"/>
        <v>56.46527851317868</v>
      </c>
      <c r="Q442" s="58">
        <f t="shared" si="223"/>
        <v>190.71054332265646</v>
      </c>
      <c r="R442" s="78">
        <f>46.5+2.3*2+14*2+1.11+40*4+0.28*5+11.92*5+18.3*0.5+53*2+27.7+0.367*3+1.5*5+110+0.23*8+506.6*0.3+37.6*5+262.5*0.4+265.6*0.5+1.25*2+1.28*5+1.65+45.5*2</f>
        <v>1243.8310000000001</v>
      </c>
      <c r="S442" s="76">
        <v>1243.8310000000001</v>
      </c>
      <c r="T442" s="21">
        <f t="shared" si="227"/>
        <v>1492.5972000000002</v>
      </c>
      <c r="U442" s="9">
        <f t="shared" si="186"/>
        <v>1947.470011119713</v>
      </c>
      <c r="V442" s="8">
        <f t="shared" si="225"/>
        <v>486.86750277992826</v>
      </c>
      <c r="W442" s="52">
        <f t="shared" si="222"/>
        <v>2434.337513899641</v>
      </c>
      <c r="X442" s="22"/>
      <c r="Y442" s="7"/>
      <c r="Z442" s="20">
        <v>2068</v>
      </c>
      <c r="AB442" s="4">
        <v>1514</v>
      </c>
      <c r="AC442" s="14"/>
      <c r="AD442" s="56">
        <v>2120.88651221133</v>
      </c>
      <c r="AE442" s="17">
        <f t="shared" si="226"/>
        <v>1.147792444283826</v>
      </c>
    </row>
    <row r="443" spans="1:31" ht="15">
      <c r="A443" s="43" t="s">
        <v>882</v>
      </c>
      <c r="B443" s="31" t="s">
        <v>93</v>
      </c>
      <c r="C443" s="7">
        <v>572624</v>
      </c>
      <c r="D443" s="7">
        <v>1650</v>
      </c>
      <c r="E443" s="7">
        <v>30</v>
      </c>
      <c r="F443" s="8">
        <f t="shared" si="219"/>
        <v>173.52242424242425</v>
      </c>
      <c r="G443" s="37">
        <v>389340</v>
      </c>
      <c r="H443" s="7">
        <v>1925</v>
      </c>
      <c r="I443" s="7">
        <v>25</v>
      </c>
      <c r="J443" s="8">
        <f t="shared" si="220"/>
        <v>84.27272727272727</v>
      </c>
      <c r="K443" s="7">
        <f aca="true" t="shared" si="228" ref="K443:K453">458430+2.6+11735+12000+50000+52800</f>
        <v>584967.6</v>
      </c>
      <c r="L443" s="7">
        <v>846721</v>
      </c>
      <c r="M443" s="7">
        <v>55</v>
      </c>
      <c r="N443" s="8">
        <f t="shared" si="180"/>
        <v>37.99742536207322</v>
      </c>
      <c r="O443" s="8">
        <f t="shared" si="221"/>
        <v>295.79257687722475</v>
      </c>
      <c r="P443" s="8">
        <f t="shared" si="224"/>
        <v>89.32935821692188</v>
      </c>
      <c r="Q443" s="58">
        <f t="shared" si="223"/>
        <v>301.70842841476923</v>
      </c>
      <c r="R443" s="78">
        <f>46.5+2.3*2+14*2+1.11+0.23*8+40*4+27.7*1.5+0.367*10+1.5*10+110+0.28*10+11.92*10+265.6+53*3+506.5*0.3+37.6*0.5+262.5*0.4+265.6+1.25*2+1.28*5+45.5*2+1.65</f>
        <v>1601.7700000000004</v>
      </c>
      <c r="S443" s="76">
        <v>1601.7700000000004</v>
      </c>
      <c r="T443" s="21">
        <f t="shared" si="227"/>
        <v>1922.1240000000005</v>
      </c>
      <c r="U443" s="9">
        <f t="shared" si="186"/>
        <v>2646.9517888709897</v>
      </c>
      <c r="V443" s="8">
        <f t="shared" si="225"/>
        <v>661.7379472177474</v>
      </c>
      <c r="W443" s="52">
        <f t="shared" si="222"/>
        <v>3308.689736088737</v>
      </c>
      <c r="X443" s="22"/>
      <c r="Y443" s="7"/>
      <c r="Z443" s="20">
        <v>2468</v>
      </c>
      <c r="AB443" s="4">
        <v>2500</v>
      </c>
      <c r="AC443" s="14"/>
      <c r="AD443" s="56">
        <v>2800.041600504321</v>
      </c>
      <c r="AE443" s="17">
        <f t="shared" si="226"/>
        <v>1.1816573494810942</v>
      </c>
    </row>
    <row r="444" spans="1:31" ht="15">
      <c r="A444" s="43" t="s">
        <v>883</v>
      </c>
      <c r="B444" s="31" t="s">
        <v>94</v>
      </c>
      <c r="C444" s="7">
        <v>572624</v>
      </c>
      <c r="D444" s="7">
        <v>1650</v>
      </c>
      <c r="E444" s="7">
        <v>60</v>
      </c>
      <c r="F444" s="8">
        <f t="shared" si="219"/>
        <v>347.0448484848485</v>
      </c>
      <c r="G444" s="37">
        <v>389340</v>
      </c>
      <c r="H444" s="7">
        <v>1925</v>
      </c>
      <c r="I444" s="7">
        <v>45</v>
      </c>
      <c r="J444" s="8">
        <f t="shared" si="220"/>
        <v>151.6909090909091</v>
      </c>
      <c r="K444" s="7">
        <f t="shared" si="228"/>
        <v>584967.6</v>
      </c>
      <c r="L444" s="7">
        <v>846721</v>
      </c>
      <c r="M444" s="7">
        <v>80</v>
      </c>
      <c r="N444" s="8">
        <f t="shared" si="180"/>
        <v>55.26898234483377</v>
      </c>
      <c r="O444" s="8">
        <f t="shared" si="221"/>
        <v>554.0047399205914</v>
      </c>
      <c r="P444" s="8">
        <f t="shared" si="224"/>
        <v>167.30943145601861</v>
      </c>
      <c r="Q444" s="58">
        <f t="shared" si="223"/>
        <v>565.0848347190033</v>
      </c>
      <c r="R444" s="78">
        <f>46.5+2.3*2+14*2+1.11+0.23*8+40*4+27.7*1.5+0.367*10+1.5*10+110+0.28*10+11.92*10+265.6+53*3+506.5*0.3+37.6*0.5+262.5*0.4+265.6+1.25*2+1.28*5+45.5*2+1.65+27.7*2+0.367*1.5*1.5+0.28*15+11.92*15+18.2*1.5</f>
        <v>1868.2957500000005</v>
      </c>
      <c r="S444" s="76">
        <v>1868.2957500000005</v>
      </c>
      <c r="T444" s="21">
        <f t="shared" si="227"/>
        <v>2241.9549000000006</v>
      </c>
      <c r="U444" s="9">
        <f t="shared" si="186"/>
        <v>3583.6228884404477</v>
      </c>
      <c r="V444" s="8">
        <f t="shared" si="225"/>
        <v>895.9057221101119</v>
      </c>
      <c r="W444" s="52">
        <f t="shared" si="222"/>
        <v>4479.528610550559</v>
      </c>
      <c r="X444" s="22"/>
      <c r="Y444" s="7"/>
      <c r="Z444" s="20">
        <v>3851</v>
      </c>
      <c r="AB444" s="4">
        <v>4000</v>
      </c>
      <c r="AC444" s="14"/>
      <c r="AD444" s="56">
        <v>3853.862374609</v>
      </c>
      <c r="AE444" s="17">
        <f t="shared" si="226"/>
        <v>1.1623478409773356</v>
      </c>
    </row>
    <row r="445" spans="1:31" ht="15">
      <c r="A445" s="43" t="s">
        <v>884</v>
      </c>
      <c r="B445" s="31" t="s">
        <v>277</v>
      </c>
      <c r="C445" s="7">
        <v>572624</v>
      </c>
      <c r="D445" s="7">
        <v>1650</v>
      </c>
      <c r="E445" s="7">
        <v>30</v>
      </c>
      <c r="F445" s="8">
        <f t="shared" si="219"/>
        <v>173.52242424242425</v>
      </c>
      <c r="G445" s="37">
        <v>389340</v>
      </c>
      <c r="H445" s="7">
        <v>1925</v>
      </c>
      <c r="I445" s="7">
        <v>25</v>
      </c>
      <c r="J445" s="8">
        <f t="shared" si="220"/>
        <v>84.27272727272727</v>
      </c>
      <c r="K445" s="7">
        <f t="shared" si="228"/>
        <v>584967.6</v>
      </c>
      <c r="L445" s="7">
        <v>846721</v>
      </c>
      <c r="M445" s="7">
        <v>30</v>
      </c>
      <c r="N445" s="8">
        <f t="shared" si="180"/>
        <v>20.725868379312665</v>
      </c>
      <c r="O445" s="8">
        <f t="shared" si="221"/>
        <v>278.5210198944642</v>
      </c>
      <c r="P445" s="8">
        <f t="shared" si="224"/>
        <v>84.11334800812818</v>
      </c>
      <c r="Q445" s="58">
        <f t="shared" si="223"/>
        <v>284.09144029235347</v>
      </c>
      <c r="R445" s="78">
        <f>46.5+2.3*2+7.34*2+1.11+40*4+0.28*5+11.92*5+18.3*0.5+53*2+27.7+0.367*3+1.5*5+110+0.23*8+506.6*0.3+37.6*5+262.5*0.4+265.6*0.5+1.25*2+1.28*5+1.65+45.5*2+7+63*0.5+4.2*2+1</f>
        <v>1278.4110000000003</v>
      </c>
      <c r="S445" s="76">
        <v>1278.4110000000003</v>
      </c>
      <c r="T445" s="21">
        <f t="shared" si="227"/>
        <v>1534.0932000000003</v>
      </c>
      <c r="U445" s="9">
        <f t="shared" si="186"/>
        <v>2201.5448765742585</v>
      </c>
      <c r="V445" s="8">
        <f t="shared" si="225"/>
        <v>550.3862191435646</v>
      </c>
      <c r="W445" s="52">
        <f t="shared" si="222"/>
        <v>2751.931095717823</v>
      </c>
      <c r="X445" s="22"/>
      <c r="Y445" s="7"/>
      <c r="Z445" s="20">
        <v>2033</v>
      </c>
      <c r="AB445" s="4">
        <v>1487</v>
      </c>
      <c r="AC445" s="14"/>
      <c r="AD445" s="56">
        <v>2324.122710133408</v>
      </c>
      <c r="AE445" s="17">
        <f t="shared" si="226"/>
        <v>1.1840730628030645</v>
      </c>
    </row>
    <row r="446" spans="1:31" ht="15">
      <c r="A446" s="43" t="s">
        <v>885</v>
      </c>
      <c r="B446" s="31" t="s">
        <v>278</v>
      </c>
      <c r="C446" s="7">
        <v>572624</v>
      </c>
      <c r="D446" s="7">
        <v>1650</v>
      </c>
      <c r="E446" s="7">
        <v>60</v>
      </c>
      <c r="F446" s="8">
        <f t="shared" si="219"/>
        <v>347.0448484848485</v>
      </c>
      <c r="G446" s="37">
        <v>389340</v>
      </c>
      <c r="H446" s="7">
        <v>1925</v>
      </c>
      <c r="I446" s="7">
        <v>40</v>
      </c>
      <c r="J446" s="8">
        <f t="shared" si="220"/>
        <v>134.83636363636361</v>
      </c>
      <c r="K446" s="7">
        <f t="shared" si="228"/>
        <v>584967.6</v>
      </c>
      <c r="L446" s="7">
        <v>846721</v>
      </c>
      <c r="M446" s="7">
        <v>60</v>
      </c>
      <c r="N446" s="8">
        <f t="shared" si="180"/>
        <v>41.45173675862533</v>
      </c>
      <c r="O446" s="8">
        <f t="shared" si="221"/>
        <v>523.3329488798374</v>
      </c>
      <c r="P446" s="8">
        <f t="shared" si="224"/>
        <v>158.0465505617109</v>
      </c>
      <c r="Q446" s="58">
        <f t="shared" si="223"/>
        <v>533.7996078574342</v>
      </c>
      <c r="R446" s="78">
        <f>46.5+2.3*2+14*2+1.11+40*4+0.28*5+11.92*5+18.3*0.5+53*2+27.7+0.367*3+1.5*5+110+0.23*8+506.6*0.3+37.6*5+262.5*0.4+265.6*0.5+1.25*2+1.28*5+1.65+45.5*2+7+63*0.5+4.2*2+1</f>
        <v>1291.7310000000002</v>
      </c>
      <c r="S446" s="76">
        <v>1291.7310000000002</v>
      </c>
      <c r="T446" s="21">
        <f t="shared" si="227"/>
        <v>1550.0772000000002</v>
      </c>
      <c r="U446" s="9">
        <f t="shared" si="186"/>
        <v>2806.7080440576083</v>
      </c>
      <c r="V446" s="8">
        <f t="shared" si="225"/>
        <v>701.6770110144021</v>
      </c>
      <c r="W446" s="52">
        <f t="shared" si="222"/>
        <v>3508.3850550720103</v>
      </c>
      <c r="X446" s="22"/>
      <c r="Y446" s="7"/>
      <c r="Z446" s="20">
        <v>2432</v>
      </c>
      <c r="AB446" s="4">
        <v>2500</v>
      </c>
      <c r="AC446" s="14"/>
      <c r="AD446" s="56">
        <v>2986.8760713057763</v>
      </c>
      <c r="AE446" s="17">
        <f t="shared" si="226"/>
        <v>1.1746001411897364</v>
      </c>
    </row>
    <row r="447" spans="1:31" ht="15">
      <c r="A447" s="43" t="s">
        <v>886</v>
      </c>
      <c r="B447" s="31" t="s">
        <v>279</v>
      </c>
      <c r="C447" s="7">
        <v>572624</v>
      </c>
      <c r="D447" s="7">
        <v>1650</v>
      </c>
      <c r="E447" s="7">
        <v>100</v>
      </c>
      <c r="F447" s="8">
        <f t="shared" si="219"/>
        <v>578.4080808080807</v>
      </c>
      <c r="G447" s="37">
        <v>389340</v>
      </c>
      <c r="H447" s="7">
        <v>1925</v>
      </c>
      <c r="I447" s="7">
        <v>50</v>
      </c>
      <c r="J447" s="8">
        <f t="shared" si="220"/>
        <v>168.54545454545453</v>
      </c>
      <c r="K447" s="7">
        <f>458430+2.6+11735+12000+50000+52800</f>
        <v>584967.6</v>
      </c>
      <c r="L447" s="7">
        <v>846721</v>
      </c>
      <c r="M447" s="7">
        <v>100</v>
      </c>
      <c r="N447" s="8">
        <f t="shared" si="180"/>
        <v>69.08622793104222</v>
      </c>
      <c r="O447" s="8">
        <f t="shared" si="221"/>
        <v>816.0397632845775</v>
      </c>
      <c r="P447" s="8">
        <f t="shared" si="224"/>
        <v>246.4440085119424</v>
      </c>
      <c r="Q447" s="58">
        <f t="shared" si="223"/>
        <v>832.360558550269</v>
      </c>
      <c r="R447" s="78">
        <f>46.5+2.3*2+14*2+1.11+40*4+0.28*5+11.92*5+18.3*0.5+53*2+27.7+0.367*3+1.5*5+110+0.23*8+506.6*0.3+37.6*5+262.5*0.4+265.6*0.5+1.25*2+1.28*5+1.65+45.5*2+7+63*0.5+4.2*2+1</f>
        <v>1291.7310000000002</v>
      </c>
      <c r="S447" s="76">
        <v>1291.7310000000002</v>
      </c>
      <c r="T447" s="21">
        <f t="shared" si="227"/>
        <v>1550.0772000000002</v>
      </c>
      <c r="U447" s="9">
        <f t="shared" si="186"/>
        <v>3514.0077582778313</v>
      </c>
      <c r="V447" s="8">
        <f t="shared" si="225"/>
        <v>878.5019395694578</v>
      </c>
      <c r="W447" s="52">
        <f t="shared" si="222"/>
        <v>4392.509697847289</v>
      </c>
      <c r="X447" s="22"/>
      <c r="Y447" s="7"/>
      <c r="Z447" s="20">
        <v>3816</v>
      </c>
      <c r="AB447" s="4">
        <v>4000</v>
      </c>
      <c r="AC447" s="14"/>
      <c r="AD447" s="56">
        <v>3821.6786865485883</v>
      </c>
      <c r="AE447" s="17">
        <f t="shared" si="226"/>
        <v>1.1493665632612946</v>
      </c>
    </row>
    <row r="448" spans="1:31" ht="30">
      <c r="A448" s="43" t="s">
        <v>887</v>
      </c>
      <c r="B448" s="31" t="s">
        <v>291</v>
      </c>
      <c r="C448" s="7">
        <v>572624</v>
      </c>
      <c r="D448" s="7">
        <v>1650</v>
      </c>
      <c r="E448" s="7">
        <v>25</v>
      </c>
      <c r="F448" s="8">
        <f t="shared" si="219"/>
        <v>144.60202020202019</v>
      </c>
      <c r="G448" s="37">
        <v>389340</v>
      </c>
      <c r="H448" s="7">
        <v>1925</v>
      </c>
      <c r="I448" s="7">
        <v>17</v>
      </c>
      <c r="J448" s="8">
        <f t="shared" si="220"/>
        <v>57.30545454545454</v>
      </c>
      <c r="K448" s="7">
        <f t="shared" si="228"/>
        <v>584967.6</v>
      </c>
      <c r="L448" s="7">
        <v>846721</v>
      </c>
      <c r="M448" s="7">
        <v>30</v>
      </c>
      <c r="N448" s="8">
        <f t="shared" si="180"/>
        <v>20.725868379312665</v>
      </c>
      <c r="O448" s="8">
        <f t="shared" si="221"/>
        <v>222.6333431267874</v>
      </c>
      <c r="P448" s="8">
        <f t="shared" si="224"/>
        <v>67.23526962428978</v>
      </c>
      <c r="Q448" s="58">
        <f t="shared" si="223"/>
        <v>227.08600998932314</v>
      </c>
      <c r="R448" s="78">
        <f>46.5+2.3*2+14*2+1.11+40*4+0.28*5+11.92*5+18.3*0.5+53*2+27.7+0.367*3+1.5*5+110+0.23*8+506.6*0.3+37.6*5+262.5*0.4+265.6*0.5+1.25*2+1.28*5+1.65+45.5*2+46.5+2.3*2+14*2+1.11+0.23*4+550*0.1+1.54*1.5</f>
        <v>1382.271</v>
      </c>
      <c r="S448" s="76">
        <v>1382.271</v>
      </c>
      <c r="T448" s="21">
        <f t="shared" si="227"/>
        <v>1658.7251999999999</v>
      </c>
      <c r="U448" s="9">
        <f t="shared" si="186"/>
        <v>2196.405691119713</v>
      </c>
      <c r="V448" s="8">
        <f t="shared" si="225"/>
        <v>549.1014227799283</v>
      </c>
      <c r="W448" s="52">
        <f t="shared" si="222"/>
        <v>2745.5071138996414</v>
      </c>
      <c r="X448" s="22"/>
      <c r="Y448" s="7"/>
      <c r="Z448" s="20">
        <v>2033</v>
      </c>
      <c r="AB448" s="4">
        <v>1487</v>
      </c>
      <c r="AC448" s="14"/>
      <c r="AD448" s="56">
        <v>2338.4297849386026</v>
      </c>
      <c r="AE448" s="17">
        <f t="shared" si="226"/>
        <v>1.1740814847565444</v>
      </c>
    </row>
    <row r="449" spans="1:31" ht="15">
      <c r="A449" s="43" t="s">
        <v>888</v>
      </c>
      <c r="B449" s="31" t="s">
        <v>280</v>
      </c>
      <c r="C449" s="7">
        <v>572624</v>
      </c>
      <c r="D449" s="7">
        <v>1650</v>
      </c>
      <c r="E449" s="7">
        <v>45</v>
      </c>
      <c r="F449" s="8">
        <f t="shared" si="219"/>
        <v>260.28363636363633</v>
      </c>
      <c r="G449" s="37">
        <v>389340</v>
      </c>
      <c r="H449" s="7">
        <v>1925</v>
      </c>
      <c r="I449" s="7">
        <v>35</v>
      </c>
      <c r="J449" s="8">
        <f t="shared" si="220"/>
        <v>117.98181818181817</v>
      </c>
      <c r="K449" s="7">
        <f t="shared" si="228"/>
        <v>584967.6</v>
      </c>
      <c r="L449" s="7">
        <v>846721</v>
      </c>
      <c r="M449" s="7">
        <v>60</v>
      </c>
      <c r="N449" s="8">
        <f t="shared" si="180"/>
        <v>41.45173675862533</v>
      </c>
      <c r="O449" s="8">
        <f t="shared" si="221"/>
        <v>419.71719130407985</v>
      </c>
      <c r="P449" s="8">
        <f t="shared" si="224"/>
        <v>126.7545917738321</v>
      </c>
      <c r="Q449" s="58">
        <f t="shared" si="223"/>
        <v>428.1115351301614</v>
      </c>
      <c r="R449" s="78">
        <f>46.5+2.3*2+14*2+1.11+40*4+0.28*5+11.92*5+18.3*0.5+53*2+27.7+0.367*3+1.5*5+110+0.23*8+506.6*0.3+37.6*5+262.5*0.4+265.6*0.5+1.25*2+1.28*5+1.65+45.5*2+46.5+2.3*2+14*2+1.11+0.23*4+550*0.1+1.54*1.5</f>
        <v>1382.271</v>
      </c>
      <c r="S449" s="76">
        <v>1382.271</v>
      </c>
      <c r="T449" s="21">
        <f t="shared" si="227"/>
        <v>1658.7251999999999</v>
      </c>
      <c r="U449" s="9">
        <f t="shared" si="186"/>
        <v>2674.7602549666985</v>
      </c>
      <c r="V449" s="8">
        <f t="shared" si="225"/>
        <v>668.6900637416746</v>
      </c>
      <c r="W449" s="52">
        <f t="shared" si="222"/>
        <v>3343.4503187083733</v>
      </c>
      <c r="X449" s="22"/>
      <c r="Y449" s="7"/>
      <c r="Z449" s="20">
        <v>2432</v>
      </c>
      <c r="AB449" s="4">
        <v>2500</v>
      </c>
      <c r="AC449" s="14"/>
      <c r="AD449" s="56">
        <v>2904.5275471499317</v>
      </c>
      <c r="AE449" s="17">
        <f t="shared" si="226"/>
        <v>1.1511167528740207</v>
      </c>
    </row>
    <row r="450" spans="1:31" ht="15">
      <c r="A450" s="43" t="s">
        <v>930</v>
      </c>
      <c r="B450" s="31" t="s">
        <v>281</v>
      </c>
      <c r="C450" s="7">
        <v>572624</v>
      </c>
      <c r="D450" s="7">
        <v>1650</v>
      </c>
      <c r="E450" s="7">
        <v>80</v>
      </c>
      <c r="F450" s="8">
        <f t="shared" si="219"/>
        <v>462.72646464646465</v>
      </c>
      <c r="G450" s="37">
        <v>389340</v>
      </c>
      <c r="H450" s="7">
        <v>1925</v>
      </c>
      <c r="I450" s="7">
        <v>65</v>
      </c>
      <c r="J450" s="8">
        <f t="shared" si="220"/>
        <v>219.1090909090909</v>
      </c>
      <c r="K450" s="7">
        <f t="shared" si="228"/>
        <v>584967.6</v>
      </c>
      <c r="L450" s="7">
        <v>846721</v>
      </c>
      <c r="M450" s="7">
        <v>110</v>
      </c>
      <c r="N450" s="8">
        <f t="shared" si="180"/>
        <v>75.99485072414645</v>
      </c>
      <c r="O450" s="8">
        <f t="shared" si="221"/>
        <v>757.830406279702</v>
      </c>
      <c r="P450" s="8">
        <f t="shared" si="224"/>
        <v>228.86478269646997</v>
      </c>
      <c r="Q450" s="58">
        <f t="shared" si="223"/>
        <v>772.987014405296</v>
      </c>
      <c r="R450" s="78">
        <f>46.5+2.3*2+14*2+1.11+40*4+0.28*5+11.92*5+18.3*0.5+53*2+27.7+0.367*3+1.5*5+110+0.23*8+506.6*0.3+37.6*5+262.5*0.4+265.6*0.5+1.25*2+1.28*5+1.65+45.5*2+46.5+2.3*2+14*2+1.11+0.23*4+550*0.1+1.54*1.5</f>
        <v>1382.271</v>
      </c>
      <c r="S450" s="76">
        <v>1382.271</v>
      </c>
      <c r="T450" s="21">
        <f t="shared" si="227"/>
        <v>1658.7251999999999</v>
      </c>
      <c r="U450" s="9">
        <f t="shared" si="186"/>
        <v>3494.4022541056142</v>
      </c>
      <c r="V450" s="8">
        <f t="shared" si="225"/>
        <v>873.6005635264036</v>
      </c>
      <c r="W450" s="52">
        <f t="shared" si="222"/>
        <v>4368.0028176320175</v>
      </c>
      <c r="X450" s="22"/>
      <c r="Y450" s="7"/>
      <c r="Z450" s="20">
        <v>3816</v>
      </c>
      <c r="AB450" s="4">
        <v>4000</v>
      </c>
      <c r="AC450" s="14"/>
      <c r="AD450" s="56">
        <v>3821.4924377618877</v>
      </c>
      <c r="AE450" s="17">
        <f t="shared" si="226"/>
        <v>1.1430096719464402</v>
      </c>
    </row>
    <row r="451" spans="1:31" ht="30">
      <c r="A451" s="43" t="s">
        <v>931</v>
      </c>
      <c r="B451" s="31" t="s">
        <v>282</v>
      </c>
      <c r="C451" s="7">
        <v>572624</v>
      </c>
      <c r="D451" s="7">
        <v>1650</v>
      </c>
      <c r="E451" s="7">
        <v>70</v>
      </c>
      <c r="F451" s="8">
        <f t="shared" si="219"/>
        <v>404.8856565656566</v>
      </c>
      <c r="G451" s="37">
        <v>389340</v>
      </c>
      <c r="H451" s="7">
        <v>1925</v>
      </c>
      <c r="I451" s="7">
        <v>40</v>
      </c>
      <c r="J451" s="8">
        <f t="shared" si="220"/>
        <v>134.83636363636361</v>
      </c>
      <c r="K451" s="7">
        <f>458430+2.6+11735+12000+50000+52800</f>
        <v>584967.6</v>
      </c>
      <c r="L451" s="7">
        <v>846721</v>
      </c>
      <c r="M451" s="7">
        <v>90</v>
      </c>
      <c r="N451" s="8">
        <f>K451/L451*M451</f>
        <v>62.177605137938</v>
      </c>
      <c r="O451" s="8">
        <f t="shared" si="221"/>
        <v>601.8996253399582</v>
      </c>
      <c r="P451" s="8">
        <f t="shared" si="224"/>
        <v>181.77368685266737</v>
      </c>
      <c r="Q451" s="58">
        <f t="shared" si="223"/>
        <v>613.9376178467573</v>
      </c>
      <c r="R451" s="78">
        <f>46.5+2.3*2+14*2+1.11+0.23*4+40*4+27.7+0.367*5+63*5+4.2*2+1+0.28*5+110+200*0.1+1.5*1.5</f>
        <v>728.7149999999999</v>
      </c>
      <c r="S451" s="76">
        <v>728.7149999999999</v>
      </c>
      <c r="T451" s="21">
        <f t="shared" si="227"/>
        <v>874.4579999999999</v>
      </c>
      <c r="U451" s="9">
        <f t="shared" si="186"/>
        <v>2334.2465351773208</v>
      </c>
      <c r="V451" s="8">
        <f t="shared" si="225"/>
        <v>583.5616337943302</v>
      </c>
      <c r="W451" s="52">
        <f t="shared" si="222"/>
        <v>2917.808168971651</v>
      </c>
      <c r="X451" s="22">
        <v>2500</v>
      </c>
      <c r="Y451" s="7"/>
      <c r="Z451" s="20">
        <v>1997</v>
      </c>
      <c r="AB451" s="4">
        <v>1460</v>
      </c>
      <c r="AC451" s="14"/>
      <c r="AD451" s="56">
        <v>2502.6500579326903</v>
      </c>
      <c r="AE451" s="17">
        <f t="shared" si="226"/>
        <v>1.1658873999275396</v>
      </c>
    </row>
    <row r="452" spans="1:31" ht="30">
      <c r="A452" s="43" t="s">
        <v>932</v>
      </c>
      <c r="B452" s="31" t="s">
        <v>284</v>
      </c>
      <c r="C452" s="7">
        <v>572624</v>
      </c>
      <c r="D452" s="7">
        <v>1650</v>
      </c>
      <c r="E452" s="7">
        <v>80</v>
      </c>
      <c r="F452" s="8">
        <f t="shared" si="219"/>
        <v>462.72646464646465</v>
      </c>
      <c r="G452" s="37">
        <v>389340</v>
      </c>
      <c r="H452" s="7">
        <v>1925</v>
      </c>
      <c r="I452" s="7">
        <v>40</v>
      </c>
      <c r="J452" s="8">
        <f t="shared" si="220"/>
        <v>134.83636363636361</v>
      </c>
      <c r="K452" s="7">
        <f t="shared" si="228"/>
        <v>584967.6</v>
      </c>
      <c r="L452" s="7">
        <v>846721</v>
      </c>
      <c r="M452" s="7">
        <v>100</v>
      </c>
      <c r="N452" s="8">
        <f t="shared" si="180"/>
        <v>69.08622793104222</v>
      </c>
      <c r="O452" s="8">
        <f t="shared" si="221"/>
        <v>666.6490562138705</v>
      </c>
      <c r="P452" s="8">
        <f t="shared" si="224"/>
        <v>201.3280149765889</v>
      </c>
      <c r="Q452" s="58">
        <f t="shared" si="223"/>
        <v>679.982037338148</v>
      </c>
      <c r="R452" s="78">
        <f>46.5+2.3*2+14*2+1.11+0.23*4+(40*4+27.7+0.367*5+63*5+4.2*2+1+0.28*5+110+200*0.1+1.5*1.5)*1.5</f>
        <v>1052.5074999999997</v>
      </c>
      <c r="S452" s="76">
        <v>1052.5074999999997</v>
      </c>
      <c r="T452" s="21">
        <f t="shared" si="227"/>
        <v>1263.0089999999996</v>
      </c>
      <c r="U452" s="9">
        <f t="shared" si="186"/>
        <v>2880.054336459649</v>
      </c>
      <c r="V452" s="8">
        <f t="shared" si="225"/>
        <v>720.0135841149123</v>
      </c>
      <c r="W452" s="52">
        <f t="shared" si="222"/>
        <v>3600.0679205745614</v>
      </c>
      <c r="X452" s="22">
        <v>3100</v>
      </c>
      <c r="Y452" s="7"/>
      <c r="Z452" s="20">
        <v>2396</v>
      </c>
      <c r="AB452" s="4">
        <v>2500</v>
      </c>
      <c r="AC452" s="14"/>
      <c r="AD452" s="56">
        <v>3096.089937003133</v>
      </c>
      <c r="AE452" s="17">
        <f t="shared" si="226"/>
        <v>1.1627788577935352</v>
      </c>
    </row>
    <row r="453" spans="1:31" ht="30">
      <c r="A453" s="43" t="s">
        <v>933</v>
      </c>
      <c r="B453" s="31" t="s">
        <v>283</v>
      </c>
      <c r="C453" s="7">
        <v>572624</v>
      </c>
      <c r="D453" s="7">
        <v>1650</v>
      </c>
      <c r="E453" s="7">
        <v>90</v>
      </c>
      <c r="F453" s="8">
        <f t="shared" si="219"/>
        <v>520.5672727272727</v>
      </c>
      <c r="G453" s="37">
        <v>389340</v>
      </c>
      <c r="H453" s="7">
        <v>1925</v>
      </c>
      <c r="I453" s="7">
        <v>50</v>
      </c>
      <c r="J453" s="8">
        <f t="shared" si="220"/>
        <v>168.54545454545453</v>
      </c>
      <c r="K453" s="7">
        <f t="shared" si="228"/>
        <v>584967.6</v>
      </c>
      <c r="L453" s="7">
        <v>846721</v>
      </c>
      <c r="M453" s="7">
        <v>115</v>
      </c>
      <c r="N453" s="8">
        <f aca="true" t="shared" si="229" ref="N453:N473">K453/L453*M453</f>
        <v>79.44916212069856</v>
      </c>
      <c r="O453" s="8">
        <f t="shared" si="221"/>
        <v>768.5618893934258</v>
      </c>
      <c r="P453" s="8">
        <f t="shared" si="224"/>
        <v>232.10569059681458</v>
      </c>
      <c r="Q453" s="58">
        <f t="shared" si="223"/>
        <v>783.9331271812943</v>
      </c>
      <c r="R453" s="78">
        <f>46.5+2.3*2+14*2+1.11+0.23*4+(40*4+27.7+0.367*5+63*5+4.2*2+1+0.28*5+110+200*0.1+1.5*1.5)*2</f>
        <v>1376.2999999999997</v>
      </c>
      <c r="S453" s="76">
        <v>1376.2999999999997</v>
      </c>
      <c r="T453" s="21">
        <f t="shared" si="227"/>
        <v>1651.5599999999997</v>
      </c>
      <c r="U453" s="9">
        <f t="shared" si="186"/>
        <v>3515.6098692922333</v>
      </c>
      <c r="V453" s="8">
        <f t="shared" si="225"/>
        <v>878.9024673230583</v>
      </c>
      <c r="W453" s="52">
        <f t="shared" si="222"/>
        <v>4394.512336615291</v>
      </c>
      <c r="X453" s="22">
        <v>3830</v>
      </c>
      <c r="Y453" s="7"/>
      <c r="Z453" s="20">
        <v>3780</v>
      </c>
      <c r="AB453" s="4">
        <v>4000</v>
      </c>
      <c r="AC453" s="14"/>
      <c r="AD453" s="56">
        <v>3828.3727158360707</v>
      </c>
      <c r="AE453" s="17">
        <f t="shared" si="226"/>
        <v>1.1478799643611979</v>
      </c>
    </row>
    <row r="454" spans="1:31" ht="15">
      <c r="A454" s="43" t="s">
        <v>934</v>
      </c>
      <c r="B454" s="31" t="s">
        <v>273</v>
      </c>
      <c r="C454" s="7">
        <v>572624</v>
      </c>
      <c r="D454" s="7">
        <v>1650</v>
      </c>
      <c r="E454" s="7">
        <v>15</v>
      </c>
      <c r="F454" s="8">
        <f t="shared" si="219"/>
        <v>86.76121212121213</v>
      </c>
      <c r="G454" s="37">
        <v>389340</v>
      </c>
      <c r="H454" s="7">
        <v>1925</v>
      </c>
      <c r="I454" s="7">
        <v>11</v>
      </c>
      <c r="J454" s="8">
        <f t="shared" si="220"/>
        <v>37.08</v>
      </c>
      <c r="K454" s="7">
        <f>458430+11735+'[5]Лист1'!$O$561</f>
        <v>506015</v>
      </c>
      <c r="L454" s="7">
        <v>846721</v>
      </c>
      <c r="M454" s="7">
        <v>15</v>
      </c>
      <c r="N454" s="8">
        <f t="shared" si="229"/>
        <v>8.964257411827509</v>
      </c>
      <c r="O454" s="8">
        <f t="shared" si="221"/>
        <v>132.80546953303963</v>
      </c>
      <c r="P454" s="8">
        <f t="shared" si="224"/>
        <v>40.10725179897796</v>
      </c>
      <c r="Q454" s="58">
        <f t="shared" si="223"/>
        <v>135.46157892370042</v>
      </c>
      <c r="R454" s="78">
        <f>46.5+2.3+7.34+11.1+1.5*10+27*3+88.5</f>
        <v>251.74</v>
      </c>
      <c r="S454" s="76">
        <v>251.74</v>
      </c>
      <c r="T454" s="21">
        <f t="shared" si="227"/>
        <v>302.088</v>
      </c>
      <c r="U454" s="9">
        <f t="shared" si="186"/>
        <v>619.4265576675455</v>
      </c>
      <c r="V454" s="8">
        <f t="shared" si="225"/>
        <v>154.85663941688637</v>
      </c>
      <c r="W454" s="52">
        <f t="shared" si="222"/>
        <v>774.2831970844318</v>
      </c>
      <c r="X454" s="22"/>
      <c r="Y454" s="7"/>
      <c r="Z454" s="20">
        <v>374</v>
      </c>
      <c r="AA454" s="4">
        <v>332</v>
      </c>
      <c r="AB454" s="4">
        <v>600</v>
      </c>
      <c r="AC454" s="14">
        <f>(100*W454)/AA454-100</f>
        <v>133.217830447118</v>
      </c>
      <c r="AD454" s="56">
        <v>671.9214747467696</v>
      </c>
      <c r="AE454" s="17">
        <f t="shared" si="226"/>
        <v>1.1523417931779003</v>
      </c>
    </row>
    <row r="455" spans="1:31" ht="15">
      <c r="A455" s="43" t="s">
        <v>935</v>
      </c>
      <c r="B455" s="31" t="s">
        <v>274</v>
      </c>
      <c r="C455" s="7">
        <v>572624</v>
      </c>
      <c r="D455" s="7">
        <v>1650</v>
      </c>
      <c r="E455" s="7">
        <v>21</v>
      </c>
      <c r="F455" s="8">
        <f t="shared" si="219"/>
        <v>121.46569696969696</v>
      </c>
      <c r="G455" s="37">
        <v>389340</v>
      </c>
      <c r="H455" s="7">
        <v>1925</v>
      </c>
      <c r="I455" s="7">
        <v>20</v>
      </c>
      <c r="J455" s="8">
        <f t="shared" si="220"/>
        <v>67.41818181818181</v>
      </c>
      <c r="K455" s="7">
        <f>458430+11735+'[5]Лист1'!$O$561</f>
        <v>506015</v>
      </c>
      <c r="L455" s="7">
        <v>846721</v>
      </c>
      <c r="M455" s="7">
        <v>25</v>
      </c>
      <c r="N455" s="8">
        <f t="shared" si="229"/>
        <v>14.940429019712514</v>
      </c>
      <c r="O455" s="8">
        <f t="shared" si="221"/>
        <v>203.82430780759128</v>
      </c>
      <c r="P455" s="8">
        <f t="shared" si="224"/>
        <v>61.55494095789256</v>
      </c>
      <c r="Q455" s="58">
        <f t="shared" si="223"/>
        <v>207.9007939637431</v>
      </c>
      <c r="R455" s="78">
        <f>46.5+2.3+7.34+11.1+1.5*15+27*3+88.5*2</f>
        <v>347.74</v>
      </c>
      <c r="S455" s="76">
        <v>347.74</v>
      </c>
      <c r="T455" s="21">
        <f t="shared" si="227"/>
        <v>417.288</v>
      </c>
      <c r="U455" s="9">
        <f t="shared" si="186"/>
        <v>905.5084717489394</v>
      </c>
      <c r="V455" s="8">
        <f t="shared" si="225"/>
        <v>226.37711793723486</v>
      </c>
      <c r="W455" s="52">
        <f t="shared" si="222"/>
        <v>1131.8855896861742</v>
      </c>
      <c r="X455" s="22"/>
      <c r="Y455" s="7"/>
      <c r="Z455" s="20">
        <v>509</v>
      </c>
      <c r="AA455" s="4">
        <v>443</v>
      </c>
      <c r="AB455" s="4">
        <v>800</v>
      </c>
      <c r="AC455" s="14">
        <f>(100*W455)/AA455-100</f>
        <v>155.50464778468944</v>
      </c>
      <c r="AD455" s="56">
        <v>976.74872527059</v>
      </c>
      <c r="AE455" s="17">
        <f t="shared" si="226"/>
        <v>1.1588298611524745</v>
      </c>
    </row>
    <row r="456" spans="1:31" ht="15">
      <c r="A456" s="43" t="s">
        <v>936</v>
      </c>
      <c r="B456" s="31" t="s">
        <v>286</v>
      </c>
      <c r="C456" s="7">
        <v>572624</v>
      </c>
      <c r="D456" s="7">
        <v>1650</v>
      </c>
      <c r="E456" s="7">
        <v>30</v>
      </c>
      <c r="F456" s="8">
        <f>C456/D456/60*E456</f>
        <v>173.52242424242425</v>
      </c>
      <c r="G456" s="37">
        <v>389340</v>
      </c>
      <c r="H456" s="7">
        <v>1925</v>
      </c>
      <c r="I456" s="7">
        <v>25</v>
      </c>
      <c r="J456" s="8">
        <f>G456/H456/60*I456</f>
        <v>84.27272727272727</v>
      </c>
      <c r="K456" s="7">
        <f>458430+11735+'[5]Лист1'!$O$561</f>
        <v>506015</v>
      </c>
      <c r="L456" s="7">
        <v>846721</v>
      </c>
      <c r="M456" s="7">
        <v>35</v>
      </c>
      <c r="N456" s="8">
        <f t="shared" si="229"/>
        <v>20.91660062759752</v>
      </c>
      <c r="O456" s="8">
        <f t="shared" si="221"/>
        <v>278.71175214274905</v>
      </c>
      <c r="P456" s="8">
        <f t="shared" si="224"/>
        <v>84.1709491471102</v>
      </c>
      <c r="Q456" s="58">
        <f t="shared" si="223"/>
        <v>284.28598718560403</v>
      </c>
      <c r="R456" s="78">
        <f>46.5+2.3+7.34+11.1+1.5*20+27*3+88.5*2.5</f>
        <v>399.49</v>
      </c>
      <c r="S456" s="76">
        <v>399.49</v>
      </c>
      <c r="T456" s="21">
        <f t="shared" si="227"/>
        <v>479.388</v>
      </c>
      <c r="U456" s="9">
        <f t="shared" si="186"/>
        <v>1147.4732891030608</v>
      </c>
      <c r="V456" s="8">
        <f>U456*25%</f>
        <v>286.8683222757652</v>
      </c>
      <c r="W456" s="52">
        <f t="shared" si="222"/>
        <v>1434.341611378826</v>
      </c>
      <c r="X456" s="22"/>
      <c r="Y456" s="7"/>
      <c r="Z456" s="20">
        <v>644</v>
      </c>
      <c r="AB456" s="4">
        <v>1000</v>
      </c>
      <c r="AC456" s="14"/>
      <c r="AD456" s="56">
        <v>1226.2634757944104</v>
      </c>
      <c r="AE456" s="17">
        <f t="shared" si="226"/>
        <v>1.1696846882352232</v>
      </c>
    </row>
    <row r="457" spans="1:31" ht="15">
      <c r="A457" s="43" t="s">
        <v>937</v>
      </c>
      <c r="B457" s="31" t="s">
        <v>89</v>
      </c>
      <c r="C457" s="7">
        <v>572624</v>
      </c>
      <c r="D457" s="7">
        <v>1650</v>
      </c>
      <c r="E457" s="7">
        <v>30</v>
      </c>
      <c r="F457" s="8">
        <f t="shared" si="219"/>
        <v>173.52242424242425</v>
      </c>
      <c r="G457" s="37">
        <v>389340</v>
      </c>
      <c r="H457" s="7">
        <v>1925</v>
      </c>
      <c r="I457" s="7">
        <v>23</v>
      </c>
      <c r="J457" s="8">
        <f t="shared" si="220"/>
        <v>77.53090909090909</v>
      </c>
      <c r="K457" s="7">
        <f>35850</f>
        <v>35850</v>
      </c>
      <c r="L457" s="7">
        <v>846721</v>
      </c>
      <c r="M457" s="7">
        <v>35</v>
      </c>
      <c r="N457" s="8">
        <f t="shared" si="229"/>
        <v>1.4818930911126569</v>
      </c>
      <c r="O457" s="8">
        <f t="shared" si="221"/>
        <v>252.535226424446</v>
      </c>
      <c r="P457" s="8">
        <f t="shared" si="224"/>
        <v>76.2656383801827</v>
      </c>
      <c r="Q457" s="58">
        <f t="shared" si="223"/>
        <v>257.5859309529349</v>
      </c>
      <c r="R457" s="78">
        <f>4.5+1.11+7.34+2.3*2+40*4</f>
        <v>177.55</v>
      </c>
      <c r="S457" s="76">
        <v>177.55</v>
      </c>
      <c r="T457" s="21">
        <f t="shared" si="227"/>
        <v>213.06</v>
      </c>
      <c r="U457" s="9">
        <f t="shared" si="186"/>
        <v>800.9286888486763</v>
      </c>
      <c r="V457" s="8">
        <f t="shared" si="225"/>
        <v>200.23217221216908</v>
      </c>
      <c r="W457" s="52">
        <f t="shared" si="222"/>
        <v>1001.1608610608454</v>
      </c>
      <c r="X457" s="22"/>
      <c r="Y457" s="7"/>
      <c r="Z457" s="20">
        <v>354</v>
      </c>
      <c r="AA457" s="4">
        <v>307</v>
      </c>
      <c r="AB457" s="4">
        <v>307</v>
      </c>
      <c r="AC457" s="14">
        <f>(100*W457)/AA457-100</f>
        <v>226.11102966151316</v>
      </c>
      <c r="AD457" s="56">
        <v>868.1358527491568</v>
      </c>
      <c r="AE457" s="17">
        <f t="shared" si="226"/>
        <v>1.1532306353785915</v>
      </c>
    </row>
    <row r="458" spans="1:31" ht="30">
      <c r="A458" s="43" t="s">
        <v>938</v>
      </c>
      <c r="B458" s="31" t="s">
        <v>90</v>
      </c>
      <c r="C458" s="7">
        <v>572624</v>
      </c>
      <c r="D458" s="7">
        <v>1650</v>
      </c>
      <c r="E458" s="7">
        <v>30</v>
      </c>
      <c r="F458" s="8">
        <f t="shared" si="219"/>
        <v>173.52242424242425</v>
      </c>
      <c r="G458" s="37">
        <v>389340</v>
      </c>
      <c r="H458" s="7">
        <v>1925</v>
      </c>
      <c r="I458" s="7">
        <v>25</v>
      </c>
      <c r="J458" s="8">
        <f t="shared" si="220"/>
        <v>84.27272727272727</v>
      </c>
      <c r="K458" s="7">
        <f>458430+11735</f>
        <v>470165</v>
      </c>
      <c r="L458" s="7">
        <v>846721</v>
      </c>
      <c r="M458" s="7">
        <v>33</v>
      </c>
      <c r="N458" s="8">
        <f t="shared" si="229"/>
        <v>18.3241528201143</v>
      </c>
      <c r="O458" s="8">
        <f t="shared" si="221"/>
        <v>276.11930433526584</v>
      </c>
      <c r="P458" s="8">
        <f t="shared" si="224"/>
        <v>83.38802990925028</v>
      </c>
      <c r="Q458" s="58">
        <f t="shared" si="223"/>
        <v>281.64169042197113</v>
      </c>
      <c r="R458" s="78">
        <f>46.5+7.38*2+2.3*2+1.11</f>
        <v>66.97</v>
      </c>
      <c r="S458" s="76">
        <v>66.97</v>
      </c>
      <c r="T458" s="21">
        <f t="shared" si="227"/>
        <v>80.36399999999999</v>
      </c>
      <c r="U458" s="9">
        <f aca="true" t="shared" si="230" ref="U458:U473">N458+O458+P458+Q458+T458</f>
        <v>739.8371774866016</v>
      </c>
      <c r="V458" s="8">
        <f t="shared" si="225"/>
        <v>184.9592943716504</v>
      </c>
      <c r="W458" s="52">
        <f t="shared" si="222"/>
        <v>924.7964718582521</v>
      </c>
      <c r="X458" s="22"/>
      <c r="Y458" s="7"/>
      <c r="Z458" s="20">
        <v>265</v>
      </c>
      <c r="AA458" s="4">
        <v>237</v>
      </c>
      <c r="AB458" s="4">
        <v>800</v>
      </c>
      <c r="AC458" s="14">
        <f>(100*W458)/AA458-100</f>
        <v>290.2094817967308</v>
      </c>
      <c r="AD458" s="56">
        <v>799.8483362738364</v>
      </c>
      <c r="AE458" s="17">
        <f t="shared" si="226"/>
        <v>1.1562147846259174</v>
      </c>
    </row>
    <row r="459" spans="1:31" ht="15">
      <c r="A459" s="43" t="s">
        <v>939</v>
      </c>
      <c r="B459" s="31" t="s">
        <v>30</v>
      </c>
      <c r="C459" s="7">
        <v>572624</v>
      </c>
      <c r="D459" s="7">
        <v>1650</v>
      </c>
      <c r="E459" s="7">
        <v>8</v>
      </c>
      <c r="F459" s="8">
        <f t="shared" si="219"/>
        <v>46.27264646464646</v>
      </c>
      <c r="G459" s="37">
        <v>389340</v>
      </c>
      <c r="H459" s="7">
        <v>1925</v>
      </c>
      <c r="I459" s="7">
        <v>5</v>
      </c>
      <c r="J459" s="8">
        <f t="shared" si="220"/>
        <v>16.854545454545452</v>
      </c>
      <c r="K459" s="7">
        <f>458430+11735</f>
        <v>470165</v>
      </c>
      <c r="L459" s="7">
        <v>846721</v>
      </c>
      <c r="M459" s="7">
        <v>5</v>
      </c>
      <c r="N459" s="8">
        <f t="shared" si="229"/>
        <v>2.776386790926409</v>
      </c>
      <c r="O459" s="8">
        <f t="shared" si="221"/>
        <v>65.90357871011832</v>
      </c>
      <c r="P459" s="8">
        <f t="shared" si="224"/>
        <v>19.902880770455734</v>
      </c>
      <c r="Q459" s="58">
        <f t="shared" si="223"/>
        <v>67.22165028432069</v>
      </c>
      <c r="R459" s="78">
        <f>46.5+7.38*2+2.3*2+1.11</f>
        <v>66.97</v>
      </c>
      <c r="S459" s="76">
        <v>66.97</v>
      </c>
      <c r="T459" s="21">
        <f t="shared" si="227"/>
        <v>80.36399999999999</v>
      </c>
      <c r="U459" s="9">
        <f t="shared" si="230"/>
        <v>236.16849655582115</v>
      </c>
      <c r="V459" s="8">
        <f t="shared" si="225"/>
        <v>59.04212413895529</v>
      </c>
      <c r="W459" s="52">
        <f t="shared" si="222"/>
        <v>295.2106206947764</v>
      </c>
      <c r="X459" s="22"/>
      <c r="Y459" s="7"/>
      <c r="Z459" s="20">
        <v>149</v>
      </c>
      <c r="AA459" s="4">
        <v>122</v>
      </c>
      <c r="AB459" s="4">
        <v>150</v>
      </c>
      <c r="AC459" s="14">
        <f>(100*W459)/AA459-100</f>
        <v>141.97591860227575</v>
      </c>
      <c r="AD459" s="56">
        <v>255.25264407139983</v>
      </c>
      <c r="AE459" s="17">
        <f t="shared" si="226"/>
        <v>1.1565428509810047</v>
      </c>
    </row>
    <row r="460" spans="1:31" ht="15">
      <c r="A460" s="43" t="s">
        <v>940</v>
      </c>
      <c r="B460" s="31" t="s">
        <v>130</v>
      </c>
      <c r="C460" s="7">
        <v>572624</v>
      </c>
      <c r="D460" s="7">
        <v>1650</v>
      </c>
      <c r="E460" s="7">
        <v>45</v>
      </c>
      <c r="F460" s="8">
        <f t="shared" si="219"/>
        <v>260.28363636363633</v>
      </c>
      <c r="G460" s="37">
        <v>389340</v>
      </c>
      <c r="H460" s="7">
        <v>1925</v>
      </c>
      <c r="I460" s="7">
        <v>37</v>
      </c>
      <c r="J460" s="8">
        <f t="shared" si="220"/>
        <v>124.72363636363636</v>
      </c>
      <c r="K460" s="7">
        <f>458430+11735+'[5]Лист1'!$O$561</f>
        <v>506015</v>
      </c>
      <c r="L460" s="7">
        <v>846721</v>
      </c>
      <c r="M460" s="7">
        <v>55</v>
      </c>
      <c r="N460" s="8">
        <f t="shared" si="229"/>
        <v>32.86894384336753</v>
      </c>
      <c r="O460" s="8">
        <f t="shared" si="221"/>
        <v>417.8762165706403</v>
      </c>
      <c r="P460" s="8">
        <f t="shared" si="224"/>
        <v>126.19861740433336</v>
      </c>
      <c r="Q460" s="58">
        <f t="shared" si="223"/>
        <v>426.2337409020531</v>
      </c>
      <c r="R460" s="78">
        <f>46.5+2.3+7.34+11.1+1.5*10+27*3+88.5+540*0.1</f>
        <v>305.74</v>
      </c>
      <c r="S460" s="76">
        <v>305.74</v>
      </c>
      <c r="T460" s="21">
        <f t="shared" si="227"/>
        <v>366.888</v>
      </c>
      <c r="U460" s="9">
        <f t="shared" si="230"/>
        <v>1370.0655187203943</v>
      </c>
      <c r="V460" s="8">
        <f t="shared" si="225"/>
        <v>342.51637968009857</v>
      </c>
      <c r="W460" s="52">
        <f t="shared" si="222"/>
        <v>1712.5818984004927</v>
      </c>
      <c r="X460" s="22"/>
      <c r="Y460" s="7"/>
      <c r="Z460" s="20">
        <v>499</v>
      </c>
      <c r="AA460" s="4">
        <v>448</v>
      </c>
      <c r="AB460" s="4">
        <v>800</v>
      </c>
      <c r="AC460" s="14">
        <f>(100*W460)/AA460-100</f>
        <v>282.2727451786814</v>
      </c>
      <c r="AD460" s="56">
        <v>1478.7304768420513</v>
      </c>
      <c r="AE460" s="17">
        <f t="shared" si="226"/>
        <v>1.1581433704253192</v>
      </c>
    </row>
    <row r="461" spans="1:31" ht="30">
      <c r="A461" s="43" t="s">
        <v>941</v>
      </c>
      <c r="B461" s="31" t="s">
        <v>287</v>
      </c>
      <c r="C461" s="7">
        <v>572624</v>
      </c>
      <c r="D461" s="7">
        <v>1650</v>
      </c>
      <c r="E461" s="7">
        <v>50</v>
      </c>
      <c r="F461" s="8">
        <f t="shared" si="219"/>
        <v>289.20404040404037</v>
      </c>
      <c r="G461" s="37">
        <v>389340</v>
      </c>
      <c r="H461" s="7">
        <v>1925</v>
      </c>
      <c r="I461" s="7">
        <v>40</v>
      </c>
      <c r="J461" s="8">
        <f t="shared" si="220"/>
        <v>134.83636363636361</v>
      </c>
      <c r="K461" s="7">
        <v>458430</v>
      </c>
      <c r="L461" s="7">
        <v>846721</v>
      </c>
      <c r="M461" s="7">
        <v>70</v>
      </c>
      <c r="N461" s="8">
        <f t="shared" si="229"/>
        <v>37.89926079546864</v>
      </c>
      <c r="O461" s="8">
        <f t="shared" si="221"/>
        <v>461.93966483587263</v>
      </c>
      <c r="P461" s="8">
        <f t="shared" si="224"/>
        <v>139.50577878043353</v>
      </c>
      <c r="Q461" s="58">
        <f t="shared" si="223"/>
        <v>471.1784581325901</v>
      </c>
      <c r="R461" s="78">
        <f>0.23*6+46.5+160+32+75+25*2+3.37+85+18*4+144.2+0.367*15+1.11+2.6</f>
        <v>678.6650000000001</v>
      </c>
      <c r="S461" s="76">
        <v>678.6650000000001</v>
      </c>
      <c r="T461" s="21">
        <f t="shared" si="227"/>
        <v>814.398</v>
      </c>
      <c r="U461" s="9">
        <f t="shared" si="230"/>
        <v>1924.921162544365</v>
      </c>
      <c r="V461" s="8">
        <f t="shared" si="225"/>
        <v>481.23029063609124</v>
      </c>
      <c r="W461" s="52">
        <f t="shared" si="222"/>
        <v>2406.151453180456</v>
      </c>
      <c r="X461" s="22"/>
      <c r="Y461" s="7"/>
      <c r="Z461" s="20">
        <v>1930</v>
      </c>
      <c r="AB461" s="4">
        <v>2000</v>
      </c>
      <c r="AC461" s="14"/>
      <c r="AD461" s="56">
        <v>2090.2739896739627</v>
      </c>
      <c r="AE461" s="17">
        <f t="shared" si="226"/>
        <v>1.1511177314873269</v>
      </c>
    </row>
    <row r="462" spans="1:31" ht="30">
      <c r="A462" s="43" t="s">
        <v>942</v>
      </c>
      <c r="B462" s="31" t="s">
        <v>424</v>
      </c>
      <c r="C462" s="7">
        <v>572624</v>
      </c>
      <c r="D462" s="7">
        <v>1650</v>
      </c>
      <c r="E462" s="7">
        <v>35</v>
      </c>
      <c r="F462" s="8">
        <f>C462/D462/60*E462</f>
        <v>202.4428282828283</v>
      </c>
      <c r="G462" s="37">
        <v>389340</v>
      </c>
      <c r="H462" s="7">
        <v>1925</v>
      </c>
      <c r="I462" s="7">
        <v>26</v>
      </c>
      <c r="J462" s="8">
        <f>G462/H462/60*I462</f>
        <v>87.64363636363636</v>
      </c>
      <c r="K462" s="7">
        <v>458430</v>
      </c>
      <c r="L462" s="7">
        <v>846721</v>
      </c>
      <c r="M462" s="7">
        <v>40</v>
      </c>
      <c r="N462" s="8">
        <f>K462/L462*M462</f>
        <v>21.656720454553508</v>
      </c>
      <c r="O462" s="8">
        <f>F462+J462+N462</f>
        <v>311.7431851010182</v>
      </c>
      <c r="P462" s="8">
        <f>O462*0.302</f>
        <v>94.14644190050748</v>
      </c>
      <c r="Q462" s="58">
        <f t="shared" si="223"/>
        <v>317.9780488030386</v>
      </c>
      <c r="R462" s="78">
        <f>(0.23*6+46.5+160+32+75+25*2+3.37+85+18*4+144.2+0.367*15+1.11+2.6)/2</f>
        <v>339.33250000000004</v>
      </c>
      <c r="S462" s="76">
        <v>339.33250000000004</v>
      </c>
      <c r="T462" s="21">
        <f t="shared" si="227"/>
        <v>407.199</v>
      </c>
      <c r="U462" s="9">
        <f t="shared" si="230"/>
        <v>1152.7233962591179</v>
      </c>
      <c r="V462" s="8">
        <f>U462*25%</f>
        <v>288.18084906477947</v>
      </c>
      <c r="W462" s="52">
        <f>U462+V462</f>
        <v>1440.9042453238974</v>
      </c>
      <c r="X462" s="22"/>
      <c r="Y462" s="7"/>
      <c r="Z462" s="20"/>
      <c r="AB462" s="4">
        <v>2000</v>
      </c>
      <c r="AC462" s="14"/>
      <c r="AD462" s="56">
        <v>1243.1264938303907</v>
      </c>
      <c r="AE462" s="17">
        <f t="shared" si="226"/>
        <v>1.1590970448100602</v>
      </c>
    </row>
    <row r="463" spans="1:31" ht="30">
      <c r="A463" s="43" t="s">
        <v>943</v>
      </c>
      <c r="B463" s="31" t="s">
        <v>425</v>
      </c>
      <c r="C463" s="7">
        <v>572624</v>
      </c>
      <c r="D463" s="7">
        <v>1650</v>
      </c>
      <c r="E463" s="7">
        <v>11</v>
      </c>
      <c r="F463" s="8">
        <f>C463/D463/60*E463</f>
        <v>63.62488888888889</v>
      </c>
      <c r="G463" s="37">
        <v>389340</v>
      </c>
      <c r="H463" s="7">
        <v>1925</v>
      </c>
      <c r="I463" s="7">
        <v>8</v>
      </c>
      <c r="J463" s="8">
        <f>G463/H463/60*I463</f>
        <v>26.967272727272725</v>
      </c>
      <c r="K463" s="7">
        <v>458430</v>
      </c>
      <c r="L463" s="7">
        <v>846721</v>
      </c>
      <c r="M463" s="7">
        <v>85</v>
      </c>
      <c r="N463" s="8">
        <f>K463/L463*M463</f>
        <v>46.020530965926206</v>
      </c>
      <c r="O463" s="8">
        <f>F463+J463+N463</f>
        <v>136.61269258208782</v>
      </c>
      <c r="P463" s="8">
        <f>O463*0.302</f>
        <v>41.25703315979052</v>
      </c>
      <c r="Q463" s="58">
        <f t="shared" si="223"/>
        <v>139.34494643372958</v>
      </c>
      <c r="R463" s="78">
        <f>(0.23*6+46.5+160+32+75+25*2+3.37+85+18*4+144.2+0.367*15+1.11+2.6)/32</f>
        <v>21.208281250000002</v>
      </c>
      <c r="S463" s="76">
        <v>21.208281250000002</v>
      </c>
      <c r="T463" s="21">
        <f t="shared" si="227"/>
        <v>25.4499375</v>
      </c>
      <c r="U463" s="9">
        <f t="shared" si="230"/>
        <v>388.68514064153413</v>
      </c>
      <c r="V463" s="8">
        <f>U463*25%</f>
        <v>97.17128516038353</v>
      </c>
      <c r="W463" s="52">
        <f>U463+V463</f>
        <v>485.8564258019177</v>
      </c>
      <c r="X463" s="22"/>
      <c r="Y463" s="7"/>
      <c r="Z463" s="20"/>
      <c r="AB463" s="4">
        <v>2000</v>
      </c>
      <c r="AC463" s="14"/>
      <c r="AD463" s="56">
        <v>413.2164225024047</v>
      </c>
      <c r="AE463" s="17">
        <f t="shared" si="226"/>
        <v>1.1757916659255967</v>
      </c>
    </row>
    <row r="464" spans="1:31" ht="15">
      <c r="A464" s="43" t="s">
        <v>944</v>
      </c>
      <c r="B464" s="31" t="s">
        <v>31</v>
      </c>
      <c r="C464" s="7">
        <v>572624</v>
      </c>
      <c r="D464" s="7">
        <v>1650</v>
      </c>
      <c r="E464" s="7">
        <v>19</v>
      </c>
      <c r="F464" s="8">
        <f aca="true" t="shared" si="231" ref="F464:F472">C464/D464/60*E464</f>
        <v>109.89753535353535</v>
      </c>
      <c r="G464" s="37">
        <v>389340</v>
      </c>
      <c r="H464" s="7">
        <v>1925</v>
      </c>
      <c r="I464" s="7">
        <v>13</v>
      </c>
      <c r="J464" s="8">
        <f aca="true" t="shared" si="232" ref="J464:J472">G464/H464/60*I464</f>
        <v>43.82181818181818</v>
      </c>
      <c r="K464" s="7">
        <f>458430</f>
        <v>458430</v>
      </c>
      <c r="L464" s="7">
        <v>846721</v>
      </c>
      <c r="M464" s="7">
        <v>25</v>
      </c>
      <c r="N464" s="8">
        <f t="shared" si="229"/>
        <v>13.535450284095942</v>
      </c>
      <c r="O464" s="8">
        <f t="shared" si="221"/>
        <v>167.25480381944945</v>
      </c>
      <c r="P464" s="8">
        <f t="shared" si="224"/>
        <v>50.51095075347373</v>
      </c>
      <c r="Q464" s="58">
        <f t="shared" si="223"/>
        <v>170.59989989583843</v>
      </c>
      <c r="R464" s="78">
        <f>46.5+7.35*2+2.3*2+1.11+26*2+37.6+0.23*4+262.5*0.1+17.4*3+310</f>
        <v>545.88</v>
      </c>
      <c r="S464" s="76">
        <v>545.88</v>
      </c>
      <c r="T464" s="21">
        <f t="shared" si="227"/>
        <v>655.0559999999999</v>
      </c>
      <c r="U464" s="9">
        <f t="shared" si="230"/>
        <v>1056.9571047528575</v>
      </c>
      <c r="V464" s="8">
        <f aca="true" t="shared" si="233" ref="V464:V473">U464*25%</f>
        <v>264.2392761882144</v>
      </c>
      <c r="W464" s="52">
        <f t="shared" si="222"/>
        <v>1321.1963809410718</v>
      </c>
      <c r="X464" s="22"/>
      <c r="Y464" s="7"/>
      <c r="Z464" s="20">
        <v>1139</v>
      </c>
      <c r="AA464" s="4">
        <v>726</v>
      </c>
      <c r="AB464" s="4">
        <v>1500</v>
      </c>
      <c r="AC464" s="14">
        <f aca="true" t="shared" si="234" ref="AC464:AC473">(100*W464)/AA464-100</f>
        <v>81.98297258141486</v>
      </c>
      <c r="AD464" s="56">
        <v>1138.583952109903</v>
      </c>
      <c r="AE464" s="17">
        <f t="shared" si="226"/>
        <v>1.1603855635702318</v>
      </c>
    </row>
    <row r="465" spans="1:31" ht="15">
      <c r="A465" s="43" t="s">
        <v>945</v>
      </c>
      <c r="B465" s="31" t="s">
        <v>91</v>
      </c>
      <c r="C465" s="7">
        <v>572624</v>
      </c>
      <c r="D465" s="7">
        <v>1650</v>
      </c>
      <c r="E465" s="7">
        <v>13</v>
      </c>
      <c r="F465" s="8">
        <f t="shared" si="231"/>
        <v>75.19305050505051</v>
      </c>
      <c r="G465" s="37">
        <v>389340</v>
      </c>
      <c r="H465" s="7">
        <v>1925</v>
      </c>
      <c r="I465" s="7">
        <v>10</v>
      </c>
      <c r="J465" s="8">
        <f t="shared" si="232"/>
        <v>33.709090909090904</v>
      </c>
      <c r="K465" s="7">
        <v>458430</v>
      </c>
      <c r="L465" s="7">
        <v>846721</v>
      </c>
      <c r="M465" s="7">
        <v>14</v>
      </c>
      <c r="N465" s="8">
        <f t="shared" si="229"/>
        <v>7.579852159093728</v>
      </c>
      <c r="O465" s="8">
        <f t="shared" si="221"/>
        <v>116.48199357323514</v>
      </c>
      <c r="P465" s="8">
        <f t="shared" si="224"/>
        <v>35.177562059117015</v>
      </c>
      <c r="Q465" s="58">
        <f t="shared" si="223"/>
        <v>118.81163344469985</v>
      </c>
      <c r="R465" s="78">
        <f>46.5+7.38*2+2.3*2+1.11+25+3.4*20</f>
        <v>159.97</v>
      </c>
      <c r="S465" s="76">
        <v>159.97</v>
      </c>
      <c r="T465" s="21">
        <f t="shared" si="227"/>
        <v>191.964</v>
      </c>
      <c r="U465" s="9">
        <f t="shared" si="230"/>
        <v>470.01504123614575</v>
      </c>
      <c r="V465" s="8">
        <f t="shared" si="233"/>
        <v>117.50376030903644</v>
      </c>
      <c r="W465" s="52">
        <f t="shared" si="222"/>
        <v>587.5188015451822</v>
      </c>
      <c r="X465" s="22"/>
      <c r="Y465" s="7"/>
      <c r="Z465" s="20">
        <v>1175</v>
      </c>
      <c r="AA465" s="4">
        <v>753</v>
      </c>
      <c r="AB465" s="4">
        <v>753</v>
      </c>
      <c r="AC465" s="14">
        <f t="shared" si="234"/>
        <v>-21.976254774876196</v>
      </c>
      <c r="AD465" s="56">
        <v>501.74297520751986</v>
      </c>
      <c r="AE465" s="17">
        <f t="shared" si="226"/>
        <v>1.17095570954867</v>
      </c>
    </row>
    <row r="466" spans="1:31" ht="15">
      <c r="A466" s="43" t="s">
        <v>946</v>
      </c>
      <c r="B466" s="31" t="s">
        <v>32</v>
      </c>
      <c r="C466" s="7">
        <v>572624</v>
      </c>
      <c r="D466" s="7">
        <v>1650</v>
      </c>
      <c r="E466" s="7">
        <v>4</v>
      </c>
      <c r="F466" s="8">
        <f t="shared" si="231"/>
        <v>23.13632323232323</v>
      </c>
      <c r="G466" s="37">
        <v>389340</v>
      </c>
      <c r="H466" s="7">
        <v>1925</v>
      </c>
      <c r="I466" s="7">
        <v>3</v>
      </c>
      <c r="J466" s="8">
        <f t="shared" si="232"/>
        <v>10.112727272727271</v>
      </c>
      <c r="K466" s="7">
        <v>458430</v>
      </c>
      <c r="L466" s="7">
        <v>846721</v>
      </c>
      <c r="M466" s="7">
        <v>3</v>
      </c>
      <c r="N466" s="8">
        <f t="shared" si="229"/>
        <v>1.6242540340915133</v>
      </c>
      <c r="O466" s="8">
        <f t="shared" si="221"/>
        <v>34.87330453914202</v>
      </c>
      <c r="P466" s="8">
        <f t="shared" si="224"/>
        <v>10.53173797082089</v>
      </c>
      <c r="Q466" s="58">
        <f t="shared" si="223"/>
        <v>35.57077062992486</v>
      </c>
      <c r="R466" s="78">
        <v>0</v>
      </c>
      <c r="S466" s="76">
        <v>0</v>
      </c>
      <c r="T466" s="21">
        <f t="shared" si="227"/>
        <v>0</v>
      </c>
      <c r="U466" s="9">
        <f t="shared" si="230"/>
        <v>82.60006717397928</v>
      </c>
      <c r="V466" s="8">
        <f t="shared" si="233"/>
        <v>20.65001679349482</v>
      </c>
      <c r="W466" s="52">
        <f t="shared" si="222"/>
        <v>103.2500839674741</v>
      </c>
      <c r="X466" s="22"/>
      <c r="Y466" s="7"/>
      <c r="Z466" s="20">
        <v>53</v>
      </c>
      <c r="AA466" s="4">
        <v>45</v>
      </c>
      <c r="AB466" s="4">
        <v>45</v>
      </c>
      <c r="AC466" s="14">
        <f t="shared" si="234"/>
        <v>129.44463103883132</v>
      </c>
      <c r="AD466" s="56">
        <v>86.75031383760398</v>
      </c>
      <c r="AE466" s="17">
        <f t="shared" si="226"/>
        <v>1.1901983912214724</v>
      </c>
    </row>
    <row r="467" spans="1:31" ht="15">
      <c r="A467" s="43" t="s">
        <v>947</v>
      </c>
      <c r="B467" s="31" t="s">
        <v>33</v>
      </c>
      <c r="C467" s="7">
        <v>572624</v>
      </c>
      <c r="D467" s="7">
        <v>1650</v>
      </c>
      <c r="E467" s="7">
        <v>8</v>
      </c>
      <c r="F467" s="8">
        <f t="shared" si="231"/>
        <v>46.27264646464646</v>
      </c>
      <c r="G467" s="37">
        <v>389340</v>
      </c>
      <c r="H467" s="7">
        <v>1925</v>
      </c>
      <c r="I467" s="7">
        <v>5</v>
      </c>
      <c r="J467" s="8">
        <f t="shared" si="232"/>
        <v>16.854545454545452</v>
      </c>
      <c r="K467" s="7">
        <v>458430</v>
      </c>
      <c r="L467" s="7">
        <f>846721+11735</f>
        <v>858456</v>
      </c>
      <c r="M467" s="7">
        <v>5</v>
      </c>
      <c r="N467" s="8">
        <f t="shared" si="229"/>
        <v>2.670084430652241</v>
      </c>
      <c r="O467" s="8">
        <f t="shared" si="221"/>
        <v>65.79727634984415</v>
      </c>
      <c r="P467" s="8">
        <f t="shared" si="224"/>
        <v>19.870777457652935</v>
      </c>
      <c r="Q467" s="58">
        <f t="shared" si="223"/>
        <v>67.11322187684104</v>
      </c>
      <c r="R467" s="78">
        <f>46.5+7.38*2+2.3*2+1.11</f>
        <v>66.97</v>
      </c>
      <c r="S467" s="76">
        <v>66.97</v>
      </c>
      <c r="T467" s="21">
        <f t="shared" si="227"/>
        <v>80.36399999999999</v>
      </c>
      <c r="U467" s="9">
        <f t="shared" si="230"/>
        <v>235.81536011499037</v>
      </c>
      <c r="V467" s="8">
        <f t="shared" si="233"/>
        <v>58.95384002874759</v>
      </c>
      <c r="W467" s="52">
        <f t="shared" si="222"/>
        <v>294.769200143738</v>
      </c>
      <c r="X467" s="22"/>
      <c r="Y467" s="7"/>
      <c r="Z467" s="20">
        <v>128</v>
      </c>
      <c r="AA467" s="4">
        <v>111</v>
      </c>
      <c r="AB467" s="4">
        <v>200</v>
      </c>
      <c r="AC467" s="14">
        <f t="shared" si="234"/>
        <v>165.55783796733152</v>
      </c>
      <c r="AD467" s="56">
        <v>254.81122352036135</v>
      </c>
      <c r="AE467" s="17">
        <f t="shared" si="226"/>
        <v>1.1568140369616948</v>
      </c>
    </row>
    <row r="468" spans="1:31" ht="15">
      <c r="A468" s="43" t="s">
        <v>948</v>
      </c>
      <c r="B468" s="31" t="s">
        <v>92</v>
      </c>
      <c r="C468" s="7">
        <v>572624</v>
      </c>
      <c r="D468" s="7">
        <v>1650</v>
      </c>
      <c r="E468" s="7">
        <v>15</v>
      </c>
      <c r="F468" s="8">
        <f t="shared" si="231"/>
        <v>86.76121212121213</v>
      </c>
      <c r="G468" s="37">
        <v>389340</v>
      </c>
      <c r="H468" s="7">
        <v>1925</v>
      </c>
      <c r="I468" s="7">
        <v>12</v>
      </c>
      <c r="J468" s="8">
        <f t="shared" si="232"/>
        <v>40.450909090909086</v>
      </c>
      <c r="K468" s="7">
        <v>458430</v>
      </c>
      <c r="L468" s="7">
        <v>846721</v>
      </c>
      <c r="M468" s="7">
        <v>3</v>
      </c>
      <c r="N468" s="8">
        <f t="shared" si="229"/>
        <v>1.6242540340915133</v>
      </c>
      <c r="O468" s="8">
        <f t="shared" si="221"/>
        <v>128.83637524621273</v>
      </c>
      <c r="P468" s="8">
        <f t="shared" si="224"/>
        <v>38.90858532435624</v>
      </c>
      <c r="Q468" s="58">
        <f t="shared" si="223"/>
        <v>131.413102751137</v>
      </c>
      <c r="R468" s="78">
        <f>7.38+2.3*2+1.11</f>
        <v>13.09</v>
      </c>
      <c r="S468" s="76">
        <v>13.09</v>
      </c>
      <c r="T468" s="21">
        <f t="shared" si="227"/>
        <v>15.707999999999998</v>
      </c>
      <c r="U468" s="9">
        <f t="shared" si="230"/>
        <v>316.4903173557974</v>
      </c>
      <c r="V468" s="8">
        <f t="shared" si="233"/>
        <v>79.12257933894935</v>
      </c>
      <c r="W468" s="52">
        <f t="shared" si="222"/>
        <v>395.6128966947467</v>
      </c>
      <c r="X468" s="22"/>
      <c r="Y468" s="7"/>
      <c r="Z468" s="20">
        <v>64</v>
      </c>
      <c r="AA468" s="4">
        <v>55</v>
      </c>
      <c r="AB468" s="4">
        <v>55</v>
      </c>
      <c r="AC468" s="14">
        <f t="shared" si="234"/>
        <v>619.2961758086304</v>
      </c>
      <c r="AD468" s="56">
        <v>343.1296107207208</v>
      </c>
      <c r="AE468" s="17">
        <f t="shared" si="226"/>
        <v>1.15295469797488</v>
      </c>
    </row>
    <row r="469" spans="1:31" ht="15">
      <c r="A469" s="43" t="s">
        <v>949</v>
      </c>
      <c r="B469" s="31" t="s">
        <v>34</v>
      </c>
      <c r="C469" s="7">
        <v>572624</v>
      </c>
      <c r="D469" s="7">
        <v>1650</v>
      </c>
      <c r="E469" s="7">
        <v>15</v>
      </c>
      <c r="F469" s="8">
        <f t="shared" si="231"/>
        <v>86.76121212121213</v>
      </c>
      <c r="G469" s="37">
        <v>389340</v>
      </c>
      <c r="H469" s="7">
        <v>1925</v>
      </c>
      <c r="I469" s="7">
        <v>12</v>
      </c>
      <c r="J469" s="8">
        <f t="shared" si="232"/>
        <v>40.450909090909086</v>
      </c>
      <c r="K469" s="7">
        <v>458430</v>
      </c>
      <c r="L469" s="7">
        <v>846721</v>
      </c>
      <c r="M469" s="7">
        <v>3</v>
      </c>
      <c r="N469" s="8">
        <f t="shared" si="229"/>
        <v>1.6242540340915133</v>
      </c>
      <c r="O469" s="8">
        <f t="shared" si="221"/>
        <v>128.83637524621273</v>
      </c>
      <c r="P469" s="8">
        <f t="shared" si="224"/>
        <v>38.90858532435624</v>
      </c>
      <c r="Q469" s="58">
        <f t="shared" si="223"/>
        <v>131.413102751137</v>
      </c>
      <c r="R469" s="78">
        <f>7.38+2.3*2+1.11</f>
        <v>13.09</v>
      </c>
      <c r="S469" s="76">
        <v>13.09</v>
      </c>
      <c r="T469" s="21">
        <f t="shared" si="227"/>
        <v>15.707999999999998</v>
      </c>
      <c r="U469" s="9">
        <f t="shared" si="230"/>
        <v>316.4903173557974</v>
      </c>
      <c r="V469" s="8">
        <f t="shared" si="233"/>
        <v>79.12257933894935</v>
      </c>
      <c r="W469" s="52">
        <f t="shared" si="222"/>
        <v>395.6128966947467</v>
      </c>
      <c r="X469" s="22"/>
      <c r="Y469" s="7"/>
      <c r="Z469" s="20">
        <v>64</v>
      </c>
      <c r="AA469" s="4">
        <v>55</v>
      </c>
      <c r="AB469" s="4">
        <v>55</v>
      </c>
      <c r="AC469" s="14">
        <f t="shared" si="234"/>
        <v>619.2961758086304</v>
      </c>
      <c r="AD469" s="56">
        <v>343.1296107207208</v>
      </c>
      <c r="AE469" s="17">
        <f t="shared" si="226"/>
        <v>1.15295469797488</v>
      </c>
    </row>
    <row r="470" spans="1:31" ht="15">
      <c r="A470" s="43" t="s">
        <v>950</v>
      </c>
      <c r="B470" s="31" t="s">
        <v>95</v>
      </c>
      <c r="C470" s="7">
        <v>572624</v>
      </c>
      <c r="D470" s="7">
        <v>1650</v>
      </c>
      <c r="E470" s="7">
        <v>25</v>
      </c>
      <c r="F470" s="8">
        <f t="shared" si="231"/>
        <v>144.60202020202019</v>
      </c>
      <c r="G470" s="37">
        <v>389340</v>
      </c>
      <c r="H470" s="7">
        <v>1925</v>
      </c>
      <c r="I470" s="7">
        <v>18</v>
      </c>
      <c r="J470" s="8">
        <f t="shared" si="232"/>
        <v>60.67636363636363</v>
      </c>
      <c r="K470" s="7">
        <v>458430</v>
      </c>
      <c r="L470" s="7">
        <f>846721+11735</f>
        <v>858456</v>
      </c>
      <c r="M470" s="7">
        <v>25</v>
      </c>
      <c r="N470" s="8">
        <f t="shared" si="229"/>
        <v>13.350422153261205</v>
      </c>
      <c r="O470" s="8">
        <f t="shared" si="221"/>
        <v>218.62880599164504</v>
      </c>
      <c r="P470" s="8">
        <f t="shared" si="224"/>
        <v>66.02589940947679</v>
      </c>
      <c r="Q470" s="58">
        <f t="shared" si="223"/>
        <v>223.00138211147794</v>
      </c>
      <c r="R470" s="78">
        <f>46.5+1.11+7.38*2+2.3*2+0.23*31.5*5+0.28*10+1.5*3+227.3*0.1</f>
        <v>133.225</v>
      </c>
      <c r="S470" s="76">
        <v>133.225</v>
      </c>
      <c r="T470" s="21">
        <f t="shared" si="227"/>
        <v>159.86999999999998</v>
      </c>
      <c r="U470" s="9">
        <f t="shared" si="230"/>
        <v>680.8765096658609</v>
      </c>
      <c r="V470" s="8">
        <f t="shared" si="233"/>
        <v>170.21912741646523</v>
      </c>
      <c r="W470" s="52">
        <f t="shared" si="222"/>
        <v>851.0956370823261</v>
      </c>
      <c r="X470" s="22"/>
      <c r="Y470" s="7"/>
      <c r="Z470" s="20">
        <v>727</v>
      </c>
      <c r="AA470" s="4">
        <v>614</v>
      </c>
      <c r="AB470" s="4">
        <v>1000</v>
      </c>
      <c r="AC470" s="14">
        <f t="shared" si="234"/>
        <v>38.614924606242056</v>
      </c>
      <c r="AD470" s="56">
        <v>732.2908139914172</v>
      </c>
      <c r="AE470" s="17">
        <f t="shared" si="226"/>
        <v>1.1622372161728378</v>
      </c>
    </row>
    <row r="471" spans="1:31" ht="15">
      <c r="A471" s="43" t="s">
        <v>951</v>
      </c>
      <c r="B471" s="31" t="s">
        <v>96</v>
      </c>
      <c r="C471" s="7">
        <v>572624</v>
      </c>
      <c r="D471" s="7">
        <v>1650</v>
      </c>
      <c r="E471" s="7">
        <v>8</v>
      </c>
      <c r="F471" s="8">
        <f t="shared" si="231"/>
        <v>46.27264646464646</v>
      </c>
      <c r="G471" s="37">
        <v>389340</v>
      </c>
      <c r="H471" s="7">
        <v>1925</v>
      </c>
      <c r="I471" s="7">
        <v>5</v>
      </c>
      <c r="J471" s="8">
        <f t="shared" si="232"/>
        <v>16.854545454545452</v>
      </c>
      <c r="K471" s="7">
        <v>458430</v>
      </c>
      <c r="L471" s="7">
        <v>846721</v>
      </c>
      <c r="M471" s="7">
        <v>3</v>
      </c>
      <c r="N471" s="8">
        <f t="shared" si="229"/>
        <v>1.6242540340915133</v>
      </c>
      <c r="O471" s="8">
        <f t="shared" si="221"/>
        <v>64.75144595328342</v>
      </c>
      <c r="P471" s="8">
        <f t="shared" si="224"/>
        <v>19.554936677891593</v>
      </c>
      <c r="Q471" s="58">
        <f t="shared" si="223"/>
        <v>66.0464748723491</v>
      </c>
      <c r="R471" s="78">
        <f>46.5+2.3*2+7.38*2+1.11+0.23*4</f>
        <v>67.89</v>
      </c>
      <c r="S471" s="76">
        <v>67.89</v>
      </c>
      <c r="T471" s="21">
        <f t="shared" si="227"/>
        <v>81.468</v>
      </c>
      <c r="U471" s="9">
        <f t="shared" si="230"/>
        <v>233.44511153761562</v>
      </c>
      <c r="V471" s="8">
        <f t="shared" si="233"/>
        <v>58.361277884403904</v>
      </c>
      <c r="W471" s="52">
        <f t="shared" si="222"/>
        <v>291.8063894220195</v>
      </c>
      <c r="X471" s="22"/>
      <c r="Y471" s="7"/>
      <c r="Z471" s="20">
        <v>194</v>
      </c>
      <c r="AA471" s="4">
        <v>106</v>
      </c>
      <c r="AB471" s="4">
        <v>250</v>
      </c>
      <c r="AC471" s="14">
        <f t="shared" si="234"/>
        <v>175.2890466245467</v>
      </c>
      <c r="AD471" s="56">
        <v>251.6184127986429</v>
      </c>
      <c r="AE471" s="17">
        <f t="shared" si="226"/>
        <v>1.1597179482072997</v>
      </c>
    </row>
    <row r="472" spans="1:31" ht="26.25" customHeight="1">
      <c r="A472" s="43" t="s">
        <v>952</v>
      </c>
      <c r="B472" s="31" t="s">
        <v>288</v>
      </c>
      <c r="C472" s="7">
        <v>572624</v>
      </c>
      <c r="D472" s="7">
        <v>1650</v>
      </c>
      <c r="E472" s="7">
        <v>10</v>
      </c>
      <c r="F472" s="8">
        <f t="shared" si="231"/>
        <v>57.84080808080808</v>
      </c>
      <c r="G472" s="37">
        <v>389340</v>
      </c>
      <c r="H472" s="7">
        <v>1925</v>
      </c>
      <c r="I472" s="7">
        <v>11</v>
      </c>
      <c r="J472" s="8">
        <f t="shared" si="232"/>
        <v>37.08</v>
      </c>
      <c r="K472" s="7">
        <f>458430+12000</f>
        <v>470430</v>
      </c>
      <c r="L472" s="7">
        <v>846721</v>
      </c>
      <c r="M472" s="7">
        <v>10</v>
      </c>
      <c r="N472" s="8">
        <f t="shared" si="229"/>
        <v>5.555903302268398</v>
      </c>
      <c r="O472" s="8">
        <f t="shared" si="221"/>
        <v>100.47671138307649</v>
      </c>
      <c r="P472" s="8">
        <f t="shared" si="224"/>
        <v>30.3439668376891</v>
      </c>
      <c r="Q472" s="58">
        <f t="shared" si="223"/>
        <v>102.48624561073802</v>
      </c>
      <c r="R472" s="78">
        <f>46.5+2.3*2+7.38*2+1.11+1.25*2+0.23*4+364*0.1</f>
        <v>106.78999999999999</v>
      </c>
      <c r="S472" s="76">
        <v>106.78999999999999</v>
      </c>
      <c r="T472" s="21">
        <f t="shared" si="227"/>
        <v>128.148</v>
      </c>
      <c r="U472" s="9">
        <f t="shared" si="230"/>
        <v>367.010827133772</v>
      </c>
      <c r="V472" s="8">
        <f t="shared" si="233"/>
        <v>91.752706783443</v>
      </c>
      <c r="W472" s="52">
        <f t="shared" si="222"/>
        <v>458.763533917215</v>
      </c>
      <c r="X472" s="22"/>
      <c r="Y472" s="7"/>
      <c r="Z472" s="20">
        <v>391</v>
      </c>
      <c r="AA472" s="4">
        <v>335</v>
      </c>
      <c r="AB472" s="4">
        <v>335</v>
      </c>
      <c r="AC472" s="14">
        <f t="shared" si="234"/>
        <v>36.944338482750766</v>
      </c>
      <c r="AD472" s="56">
        <v>396.5751853457864</v>
      </c>
      <c r="AE472" s="17">
        <f>W472/AD472</f>
        <v>1.1568135144845348</v>
      </c>
    </row>
    <row r="473" spans="1:31" ht="15">
      <c r="A473" s="43" t="s">
        <v>953</v>
      </c>
      <c r="B473" s="31" t="s">
        <v>71</v>
      </c>
      <c r="C473" s="7">
        <v>572624</v>
      </c>
      <c r="D473" s="7">
        <v>1650</v>
      </c>
      <c r="E473" s="7">
        <v>5</v>
      </c>
      <c r="F473" s="8">
        <f>C473/D473/60*E473</f>
        <v>28.92040404040404</v>
      </c>
      <c r="G473" s="37">
        <v>389340</v>
      </c>
      <c r="H473" s="7">
        <v>1925</v>
      </c>
      <c r="I473" s="7">
        <v>1</v>
      </c>
      <c r="J473" s="8">
        <f>G473/H473/60*I473</f>
        <v>3.3709090909090906</v>
      </c>
      <c r="K473" s="7">
        <v>458430</v>
      </c>
      <c r="L473" s="7">
        <v>846721</v>
      </c>
      <c r="M473" s="7">
        <v>3</v>
      </c>
      <c r="N473" s="8">
        <f t="shared" si="229"/>
        <v>1.6242540340915133</v>
      </c>
      <c r="O473" s="8">
        <f t="shared" si="221"/>
        <v>33.915567165404646</v>
      </c>
      <c r="P473" s="8">
        <f t="shared" si="224"/>
        <v>10.242501283952203</v>
      </c>
      <c r="Q473" s="58">
        <f t="shared" si="223"/>
        <v>34.59387850871274</v>
      </c>
      <c r="R473" s="78">
        <v>1</v>
      </c>
      <c r="S473" s="76">
        <v>1</v>
      </c>
      <c r="T473" s="21">
        <f t="shared" si="227"/>
        <v>1.2</v>
      </c>
      <c r="U473" s="9">
        <f t="shared" si="230"/>
        <v>81.5762009921611</v>
      </c>
      <c r="V473" s="8">
        <f t="shared" si="233"/>
        <v>20.394050248040276</v>
      </c>
      <c r="W473" s="52">
        <f t="shared" si="222"/>
        <v>101.97025124020138</v>
      </c>
      <c r="X473" s="7"/>
      <c r="Y473" s="7"/>
      <c r="Z473" s="20">
        <v>64</v>
      </c>
      <c r="AA473" s="4">
        <v>55</v>
      </c>
      <c r="AB473" s="4">
        <v>55</v>
      </c>
      <c r="AC473" s="14">
        <f t="shared" si="234"/>
        <v>85.40045680036613</v>
      </c>
      <c r="AD473" s="56">
        <v>86.75031383760398</v>
      </c>
      <c r="AE473" s="17">
        <f t="shared" si="226"/>
        <v>1.1754453295821963</v>
      </c>
    </row>
    <row r="474" spans="2:29" ht="15">
      <c r="B474" s="27"/>
      <c r="C474" s="19"/>
      <c r="D474" s="19"/>
      <c r="E474" s="19"/>
      <c r="F474" s="28"/>
      <c r="G474" s="29"/>
      <c r="H474" s="19"/>
      <c r="I474" s="19"/>
      <c r="J474" s="28"/>
      <c r="K474" s="19"/>
      <c r="L474" s="19"/>
      <c r="M474" s="19"/>
      <c r="N474" s="28"/>
      <c r="O474" s="28"/>
      <c r="P474" s="28"/>
      <c r="Q474" s="28"/>
      <c r="R474" s="78"/>
      <c r="U474" s="28"/>
      <c r="V474" s="28"/>
      <c r="W474" s="53"/>
      <c r="X474" s="19"/>
      <c r="Y474" s="19"/>
      <c r="Z474" s="70"/>
      <c r="AC474" s="14"/>
    </row>
    <row r="476" spans="1:31" s="3" customFormat="1" ht="15">
      <c r="A476" s="100" t="s">
        <v>850</v>
      </c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71"/>
      <c r="Y476" s="71"/>
      <c r="Z476" s="67"/>
      <c r="AA476" s="67"/>
      <c r="AB476" s="67"/>
      <c r="AD476" s="68"/>
      <c r="AE476" s="18"/>
    </row>
    <row r="477" spans="1:31" s="3" customFormat="1" ht="15">
      <c r="A477" s="48"/>
      <c r="B477" s="13"/>
      <c r="C477" s="1"/>
      <c r="D477" s="1"/>
      <c r="E477" s="1"/>
      <c r="F477" s="2"/>
      <c r="G477" s="18"/>
      <c r="H477" s="1"/>
      <c r="I477" s="1"/>
      <c r="J477" s="2"/>
      <c r="K477" s="1"/>
      <c r="L477" s="1"/>
      <c r="M477" s="1"/>
      <c r="N477" s="2"/>
      <c r="O477" s="2"/>
      <c r="P477" s="2"/>
      <c r="Q477" s="2"/>
      <c r="R477" s="82"/>
      <c r="S477" s="81"/>
      <c r="T477" s="61"/>
      <c r="U477" s="2"/>
      <c r="V477" s="2"/>
      <c r="W477" s="54"/>
      <c r="X477" s="71"/>
      <c r="Y477" s="71"/>
      <c r="Z477" s="67"/>
      <c r="AA477" s="67"/>
      <c r="AB477" s="67"/>
      <c r="AD477" s="68"/>
      <c r="AE477" s="18"/>
    </row>
  </sheetData>
  <sheetProtection/>
  <mergeCells count="35">
    <mergeCell ref="G5:J5"/>
    <mergeCell ref="O5:O6"/>
    <mergeCell ref="B291:W291"/>
    <mergeCell ref="U5:U6"/>
    <mergeCell ref="B37:W37"/>
    <mergeCell ref="W5:W6"/>
    <mergeCell ref="K5:N5"/>
    <mergeCell ref="Q5:Q6"/>
    <mergeCell ref="B5:B6"/>
    <mergeCell ref="B435:W435"/>
    <mergeCell ref="B251:W251"/>
    <mergeCell ref="B240:W240"/>
    <mergeCell ref="B84:W84"/>
    <mergeCell ref="B331:W331"/>
    <mergeCell ref="B118:W118"/>
    <mergeCell ref="A476:W476"/>
    <mergeCell ref="B90:W90"/>
    <mergeCell ref="B44:W44"/>
    <mergeCell ref="B265:W265"/>
    <mergeCell ref="B204:W204"/>
    <mergeCell ref="B284:W284"/>
    <mergeCell ref="B189:W189"/>
    <mergeCell ref="B196:W196"/>
    <mergeCell ref="B313:W313"/>
    <mergeCell ref="B46:W46"/>
    <mergeCell ref="B1:W1"/>
    <mergeCell ref="B166:W166"/>
    <mergeCell ref="B4:W4"/>
    <mergeCell ref="B3:W3"/>
    <mergeCell ref="P5:P6"/>
    <mergeCell ref="R5:R6"/>
    <mergeCell ref="C5:F5"/>
    <mergeCell ref="S5:S6"/>
    <mergeCell ref="T5:T6"/>
    <mergeCell ref="V5:V6"/>
  </mergeCells>
  <printOptions/>
  <pageMargins left="0.1968503937007874" right="0.1968503937007874" top="0.07874015748031496" bottom="0.11811023622047245" header="0" footer="0"/>
  <pageSetup fitToHeight="0" horizontalDpi="600" verticalDpi="600" orientation="portrait" scale="89" r:id="rId1"/>
  <rowBreaks count="1" manualBreakCount="1">
    <brk id="34" max="26" man="1"/>
  </rowBreaks>
  <colBreaks count="1" manualBreakCount="1">
    <brk id="26" max="4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K3:K24"/>
  <sheetViews>
    <sheetView zoomScalePageLayoutView="0" workbookViewId="0" topLeftCell="J1">
      <selection activeCell="K3" sqref="K3"/>
    </sheetView>
  </sheetViews>
  <sheetFormatPr defaultColWidth="9.00390625" defaultRowHeight="12.75"/>
  <cols>
    <col min="11" max="11" width="39.50390625" style="0" customWidth="1"/>
  </cols>
  <sheetData>
    <row r="3" ht="45">
      <c r="K3" s="31" t="s">
        <v>443</v>
      </c>
    </row>
    <row r="4" ht="15">
      <c r="K4" s="31" t="s">
        <v>218</v>
      </c>
    </row>
    <row r="5" ht="30">
      <c r="K5" s="31" t="s">
        <v>219</v>
      </c>
    </row>
    <row r="6" ht="30">
      <c r="K6" s="31" t="s">
        <v>220</v>
      </c>
    </row>
    <row r="7" ht="15">
      <c r="K7" s="31" t="s">
        <v>99</v>
      </c>
    </row>
    <row r="8" ht="15">
      <c r="K8" s="31" t="s">
        <v>17</v>
      </c>
    </row>
    <row r="9" ht="15">
      <c r="K9" s="31" t="s">
        <v>221</v>
      </c>
    </row>
    <row r="10" ht="30">
      <c r="K10" s="31" t="s">
        <v>222</v>
      </c>
    </row>
    <row r="11" ht="15">
      <c r="K11" s="31" t="s">
        <v>18</v>
      </c>
    </row>
    <row r="12" ht="30">
      <c r="K12" s="31" t="s">
        <v>225</v>
      </c>
    </row>
    <row r="13" ht="15">
      <c r="K13" s="31" t="s">
        <v>223</v>
      </c>
    </row>
    <row r="14" ht="15">
      <c r="K14" s="31" t="s">
        <v>847</v>
      </c>
    </row>
    <row r="15" ht="15">
      <c r="K15" s="31" t="s">
        <v>46</v>
      </c>
    </row>
    <row r="16" ht="15">
      <c r="K16" s="31" t="s">
        <v>848</v>
      </c>
    </row>
    <row r="17" ht="15">
      <c r="K17" s="31" t="s">
        <v>224</v>
      </c>
    </row>
    <row r="18" ht="15">
      <c r="K18" s="31" t="s">
        <v>226</v>
      </c>
    </row>
    <row r="19" ht="30">
      <c r="K19" s="31" t="s">
        <v>227</v>
      </c>
    </row>
    <row r="20" ht="15">
      <c r="K20" s="31" t="s">
        <v>228</v>
      </c>
    </row>
    <row r="21" ht="60">
      <c r="K21" s="31" t="s">
        <v>289</v>
      </c>
    </row>
    <row r="22" ht="30">
      <c r="K22" s="31" t="s">
        <v>229</v>
      </c>
    </row>
    <row r="23" ht="30">
      <c r="K23" s="31" t="s">
        <v>438</v>
      </c>
    </row>
    <row r="24" ht="15">
      <c r="K24" s="31" t="s">
        <v>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Вятчанина Анастасия Витальевна</cp:lastModifiedBy>
  <cp:lastPrinted>2015-07-13T04:32:57Z</cp:lastPrinted>
  <dcterms:created xsi:type="dcterms:W3CDTF">2002-02-13T05:35:38Z</dcterms:created>
  <dcterms:modified xsi:type="dcterms:W3CDTF">2015-07-13T04:35:36Z</dcterms:modified>
  <cp:category/>
  <cp:version/>
  <cp:contentType/>
  <cp:contentStatus/>
</cp:coreProperties>
</file>